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ysite.arbetsformedlingen.se/personal/wolfr/Documents/Sitevision/"/>
    </mc:Choice>
  </mc:AlternateContent>
  <xr:revisionPtr revIDLastSave="0" documentId="8_{AB818806-3B7C-4015-9F88-12CBB9F99D84}" xr6:coauthVersionLast="47" xr6:coauthVersionMax="47" xr10:uidLastSave="{00000000-0000-0000-0000-000000000000}"/>
  <bookViews>
    <workbookView xWindow="28680" yWindow="1770" windowWidth="29040" windowHeight="15840" tabRatio="653" activeTab="6" xr2:uid="{F00400B7-9C7F-4DC8-8716-A3CF0CEDB418}"/>
  </bookViews>
  <sheets>
    <sheet name="UO14 1-1 ap1" sheetId="28" r:id="rId1"/>
    <sheet name="UO14 1-2 ap1" sheetId="18" r:id="rId2"/>
    <sheet name="UO14 1-3 ap1" sheetId="19" r:id="rId3"/>
    <sheet name="UO14 1-4" sheetId="20" r:id="rId4"/>
    <sheet name="UO10 1-6" sheetId="21" r:id="rId5"/>
    <sheet name="Volymplanerade åtgärder" sheetId="26" r:id="rId6"/>
    <sheet name="Ej volymplanerade åtgärder" sheetId="25" r:id="rId7"/>
    <sheet name="Investeringar 2023" sheetId="27" r:id="rId8"/>
    <sheet name="Utvecklingsportföljerna 2023" sheetId="29" r:id="rId9"/>
    <sheet name="Prognos 13 maj förvaltning" sheetId="5" state="hidden" r:id="rId10"/>
    <sheet name="Prognos 13 maj förvaltning (2)" sheetId="14" state="hidden" r:id="rId11"/>
    <sheet name="Blad2" sheetId="13" state="hidden" r:id="rId12"/>
    <sheet name="Data-Stella13 maj " sheetId="11" state="hidden" r:id="rId13"/>
  </sheets>
  <externalReferences>
    <externalReference r:id="rId14"/>
    <externalReference r:id="rId15"/>
  </externalReferences>
  <definedNames>
    <definedName name="___hej1" hidden="1">{#N/A,#N/A,FALSE,"Riket (åtg mån)";#N/A,#N/A,FALSE,"Länsvis (mån)"}</definedName>
    <definedName name="_hej1" hidden="1">{#N/A,#N/A,FALSE,"Riket (åtg mån)";#N/A,#N/A,FALSE,"Länsvis (mån)"}</definedName>
    <definedName name="_hej1_1" hidden="1">{#N/A,#N/A,FALSE,"Riket (åtg mån)";#N/A,#N/A,FALSE,"Länsvis (mån)"}</definedName>
    <definedName name="_Toc30602530" localSheetId="9">'Prognos 13 maj förvaltning'!$O$35</definedName>
    <definedName name="_Toc30602530" localSheetId="10">'Prognos 13 maj förvaltning (2)'!$P$35</definedName>
    <definedName name="a" hidden="1">{#N/A,#N/A,FALSE,"Riket (åtg mån)";#N/A,#N/A,FALSE,"Länsvis (mån)"}</definedName>
    <definedName name="a_1" hidden="1">{#N/A,#N/A,FALSE,"Riket (åtg mån)";#N/A,#N/A,FALSE,"Länsvis (mån)"}</definedName>
    <definedName name="aaa" hidden="1">{#N/A,#N/A,TRUE,"Riket 222 223 (åtg mån)";#N/A,#N/A,TRUE,"Riket 222 (åtg mån)";#N/A,#N/A,TRUE,"Län 222 223 (län mån)";#N/A,#N/A,TRUE,"Län 222 (län mån)";#N/A,#N/A,TRUE,"Riket åtgärdsmix 222 (åtg)"}</definedName>
    <definedName name="aaa_1" hidden="1">{#N/A,#N/A,TRUE,"Riket 222 223 (åtg mån)";#N/A,#N/A,TRUE,"Riket 222 (åtg mån)";#N/A,#N/A,TRUE,"Län 222 223 (län mån)";#N/A,#N/A,TRUE,"Län 222 (län mån)";#N/A,#N/A,TRUE,"Riket åtgärdsmix 222 (åtg)"}</definedName>
    <definedName name="AUB" hidden="1">{#N/A,#N/A,TRUE,"Riket 222 223 (åtg mån)";#N/A,#N/A,TRUE,"Riket 222 (åtg mån)";#N/A,#N/A,TRUE,"Län 222 223 (län mån)";#N/A,#N/A,TRUE,"Län 222 (län mån)";#N/A,#N/A,TRUE,"Riket åtgärdsmix 222 (åtg)"}</definedName>
    <definedName name="AUB_1" hidden="1">{#N/A,#N/A,TRUE,"Riket 222 223 (åtg mån)";#N/A,#N/A,TRUE,"Riket 222 (åtg mån)";#N/A,#N/A,TRUE,"Län 222 223 (län mån)";#N/A,#N/A,TRUE,"Län 222 (län mån)";#N/A,#N/A,TRUE,"Riket åtgärdsmix 222 (åtg)"}</definedName>
    <definedName name="Autb" hidden="1">{#N/A,#N/A,TRUE,"Riket 222 223 (åtg mån)";#N/A,#N/A,TRUE,"Riket 222 (åtg mån)";#N/A,#N/A,TRUE,"Län 222 223 (län mån)";#N/A,#N/A,TRUE,"Län 222 (län mån)";#N/A,#N/A,TRUE,"Riket åtgärdsmix 222 (åtg)"}</definedName>
    <definedName name="Autb_1" hidden="1">{#N/A,#N/A,TRUE,"Riket 222 223 (åtg mån)";#N/A,#N/A,TRUE,"Riket 222 (åtg mån)";#N/A,#N/A,TRUE,"Län 222 223 (län mån)";#N/A,#N/A,TRUE,"Län 222 (län mån)";#N/A,#N/A,TRUE,"Riket åtgärdsmix 222 (åtg)"}</definedName>
    <definedName name="Data" localSheetId="10">#REF!</definedName>
    <definedName name="Data" localSheetId="4">#REF!</definedName>
    <definedName name="Data" localSheetId="5">#REF!</definedName>
    <definedName name="Data">#REF!</definedName>
    <definedName name="DataField" localSheetId="10">#REF!</definedName>
    <definedName name="DataField" localSheetId="4">#REF!</definedName>
    <definedName name="DataField" localSheetId="5">#REF!</definedName>
    <definedName name="DataField">#REF!</definedName>
    <definedName name="DataFS">[1]Datablad!$A$8:$G$422</definedName>
    <definedName name="DataS" localSheetId="10">[1]Datablad!#REF!</definedName>
    <definedName name="DataS" localSheetId="4">[1]Datablad!#REF!</definedName>
    <definedName name="DataS">[1]Datablad!#REF!</definedName>
    <definedName name="erik" hidden="1">{#N/A,#N/A,TRUE,"Riket 222 223 (åtg mån)";#N/A,#N/A,TRUE,"Riket 222 (åtg mån)";#N/A,#N/A,TRUE,"Län 222 223 (län mån)";#N/A,#N/A,TRUE,"Län 222 (län mån)";#N/A,#N/A,TRUE,"Riket åtgärdsmix 222 (åtg)"}</definedName>
    <definedName name="erik_2" hidden="1">{#N/A,#N/A,TRUE,"Riket 222 223 (åtg mån)";#N/A,#N/A,TRUE,"Riket 222 (åtg mån)";#N/A,#N/A,TRUE,"Län 222 223 (län mån)";#N/A,#N/A,TRUE,"Län 222 (län mån)";#N/A,#N/A,TRUE,"Riket åtgärdsmix 222 (åtg)"}</definedName>
    <definedName name="hej" hidden="1">{#N/A,#N/A,FALSE,"Riket (åtg mån)";#N/A,#N/A,FALSE,"Länsvis (mån)"}</definedName>
    <definedName name="hej_1" hidden="1">{#N/A,#N/A,FALSE,"Riket (åtg mån)";#N/A,#N/A,FALSE,"Länsvis (mån)"}</definedName>
    <definedName name="hejj" hidden="1">{#N/A,#N/A,FALSE,"Riket (åtg mån)";#N/A,#N/A,FALSE,"Länsvis (mån)"}</definedName>
    <definedName name="hejj_1" hidden="1">{#N/A,#N/A,FALSE,"Riket (åtg mån)";#N/A,#N/A,FALSE,"Länsvis (mån)"}</definedName>
    <definedName name="kalle" localSheetId="5" hidden="1">{#N/A,#N/A,TRUE,"Riket 222 223 (åtg mån)";#N/A,#N/A,TRUE,"Riket 222 (åtg mån)";#N/A,#N/A,TRUE,"Län 222 223 (län mån)";#N/A,#N/A,TRUE,"Län 222 (län mån)";#N/A,#N/A,TRUE,"Riket åtgärdsmix 222 (åtg)"}</definedName>
    <definedName name="kalle">[2]Datablad!$A$9</definedName>
    <definedName name="kalle_2" hidden="1">{#N/A,#N/A,TRUE,"Riket 222 223 (åtg mån)";#N/A,#N/A,TRUE,"Riket 222 (åtg mån)";#N/A,#N/A,TRUE,"Län 222 223 (län mån)";#N/A,#N/A,TRUE,"Län 222 (län mån)";#N/A,#N/A,TRUE,"Riket åtgärdsmix 222 (åtg)"}</definedName>
    <definedName name="Klartext" localSheetId="10">#REF!</definedName>
    <definedName name="Klartext" localSheetId="4">#REF!</definedName>
    <definedName name="Klartext">#REF!</definedName>
    <definedName name="nytt" localSheetId="10">#REF!</definedName>
    <definedName name="nytt">#REF!</definedName>
    <definedName name="Period" localSheetId="10">#REF!</definedName>
    <definedName name="Period" localSheetId="4">#REF!</definedName>
    <definedName name="Period" localSheetId="5">#REF!</definedName>
    <definedName name="Period">#REF!</definedName>
    <definedName name="PeriodS">[1]Datablad!$B$5</definedName>
    <definedName name="Rapportnamn" localSheetId="10">#REF!</definedName>
    <definedName name="Rapportnamn" localSheetId="4">#REF!</definedName>
    <definedName name="Rapportnamn" localSheetId="5">#REF!</definedName>
    <definedName name="Rapportnamn">#REF!</definedName>
    <definedName name="RapportS">[1]Datablad!$B$3</definedName>
    <definedName name="Rubrik" localSheetId="10">#REF!</definedName>
    <definedName name="Rubrik" localSheetId="4">#REF!</definedName>
    <definedName name="Rubrik" localSheetId="5">#REF!</definedName>
    <definedName name="Rubrik">#REF!</definedName>
    <definedName name="RubrikS">[1]Datablad!$A$8</definedName>
    <definedName name="stina" hidden="1">{#N/A,#N/A,TRUE,"Riket 222 223 (åtg mån)";#N/A,#N/A,TRUE,"Riket 222 (åtg mån)";#N/A,#N/A,TRUE,"Län 222 223 (län mån)";#N/A,#N/A,TRUE,"Län 222 (län mån)";#N/A,#N/A,TRUE,"Riket åtgärdsmix 222 (åtg)"}</definedName>
    <definedName name="stina_2" hidden="1">{#N/A,#N/A,TRUE,"Riket 222 223 (åtg mån)";#N/A,#N/A,TRUE,"Riket 222 (åtg mån)";#N/A,#N/A,TRUE,"Län 222 223 (län mån)";#N/A,#N/A,TRUE,"Län 222 (län mån)";#N/A,#N/A,TRUE,"Riket åtgärdsmix 222 (åtg)"}</definedName>
    <definedName name="sune" hidden="1">{#N/A,#N/A,TRUE,"Riket 222 223 (åtg mån)";#N/A,#N/A,TRUE,"Riket 222 (åtg mån)";#N/A,#N/A,TRUE,"Län 222 223 (län mån)";#N/A,#N/A,TRUE,"Län 222 (län mån)";#N/A,#N/A,TRUE,"Riket åtgärdsmix 222 (åtg)"}</definedName>
    <definedName name="sune_2" hidden="1">{#N/A,#N/A,TRUE,"Riket 222 223 (åtg mån)";#N/A,#N/A,TRUE,"Riket 222 (åtg mån)";#N/A,#N/A,TRUE,"Län 222 223 (län mån)";#N/A,#N/A,TRUE,"Län 222 (län mån)";#N/A,#N/A,TRUE,"Riket åtgärdsmix 222 (åtg)"}</definedName>
    <definedName name="SökS">[1]Datablad!$B$6</definedName>
    <definedName name="Sökvillkor" localSheetId="10">#REF!</definedName>
    <definedName name="Sökvillkor" localSheetId="4">#REF!</definedName>
    <definedName name="Sökvillkor" localSheetId="5">#REF!</definedName>
    <definedName name="Sökvillkor">#REF!</definedName>
    <definedName name="wrn.Planerade._.volymer._.222._.223." hidden="1">{#N/A,#N/A,TRUE,"Riket 222 223 (åtg mån)";#N/A,#N/A,TRUE,"Riket 222 (åtg mån)";#N/A,#N/A,TRUE,"Län 222 223 (län mån)";#N/A,#N/A,TRUE,"Län 222 (län mån)";#N/A,#N/A,TRUE,"Riket åtgärdsmix 222 (åtg)"}</definedName>
    <definedName name="wrn.Planerade._.volymer._.222._.223._2" hidden="1">{#N/A,#N/A,TRUE,"Riket 222 223 (åtg mån)";#N/A,#N/A,TRUE,"Riket 222 (åtg mån)";#N/A,#N/A,TRUE,"Län 222 223 (län mån)";#N/A,#N/A,TRUE,"Län 222 (län mån)";#N/A,#N/A,TRUE,"Riket åtgärdsmix 222 (åtg)"}</definedName>
    <definedName name="wrn.Planering._.224." hidden="1">{#N/A,#N/A,FALSE,"Riket (åtg mån)";#N/A,#N/A,FALSE,"Länsvis (mån)"}</definedName>
    <definedName name="wrn.Planering._.224._2" hidden="1">{#N/A,#N/A,FALSE,"Riket (åtg mån)";#N/A,#N/A,FALSE,"Länsvis (mån)"}</definedName>
    <definedName name="översikt" hidden="1">{#N/A,#N/A,TRUE,"Riket 222 223 (åtg mån)";#N/A,#N/A,TRUE,"Riket 222 (åtg mån)";#N/A,#N/A,TRUE,"Län 222 223 (län mån)";#N/A,#N/A,TRUE,"Län 222 (län mån)";#N/A,#N/A,TRUE,"Riket åtgärdsmix 222 (åtg)"}</definedName>
    <definedName name="översikt_2" hidden="1">{#N/A,#N/A,TRUE,"Riket 222 223 (åtg mån)";#N/A,#N/A,TRUE,"Riket 222 (åtg mån)";#N/A,#N/A,TRUE,"Län 222 223 (län mån)";#N/A,#N/A,TRUE,"Län 222 (län mån)";#N/A,#N/A,TRUE,"Riket åtgärdsmix 222 (åtg)"}</definedName>
    <definedName name="översikt2" hidden="1">{#N/A,#N/A,TRUE,"Riket 222 223 (åtg mån)";#N/A,#N/A,TRUE,"Riket 222 (åtg mån)";#N/A,#N/A,TRUE,"Län 222 223 (län mån)";#N/A,#N/A,TRUE,"Län 222 (län mån)";#N/A,#N/A,TRUE,"Riket åtgärdsmix 222 (åtg)"}</definedName>
    <definedName name="översikt2_1" hidden="1">{#N/A,#N/A,TRUE,"Riket 222 223 (åtg mån)";#N/A,#N/A,TRUE,"Riket 222 (åtg mån)";#N/A,#N/A,TRUE,"Län 222 223 (län mån)";#N/A,#N/A,TRUE,"Län 222 (län mån)";#N/A,#N/A,TRUE,"Riket åtgärdsmix 222 (åtg)"}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26" l="1"/>
  <c r="B14" i="26"/>
  <c r="C9" i="28"/>
  <c r="B11" i="27"/>
  <c r="B19" i="27" s="1"/>
  <c r="B4" i="27"/>
  <c r="I20" i="27"/>
  <c r="H20" i="27"/>
  <c r="G20" i="27"/>
  <c r="M19" i="27"/>
  <c r="B17" i="27"/>
  <c r="I11" i="27"/>
  <c r="H11" i="27"/>
  <c r="G11" i="27"/>
  <c r="I4" i="27"/>
  <c r="H4" i="27"/>
  <c r="G4" i="27"/>
  <c r="C13" i="20"/>
  <c r="C14" i="19"/>
  <c r="G22" i="27" l="1"/>
  <c r="I22" i="27"/>
  <c r="H22" i="27"/>
  <c r="C55" i="26"/>
  <c r="D55" i="26"/>
  <c r="E55" i="26"/>
  <c r="F55" i="26"/>
  <c r="G55" i="26"/>
  <c r="H55" i="26"/>
  <c r="I55" i="26"/>
  <c r="J55" i="26"/>
  <c r="K55" i="26"/>
  <c r="L55" i="26"/>
  <c r="M55" i="26"/>
  <c r="B55" i="26"/>
  <c r="O54" i="26"/>
  <c r="O53" i="26"/>
  <c r="O52" i="26"/>
  <c r="O39" i="26"/>
  <c r="O50" i="26"/>
  <c r="O49" i="26"/>
  <c r="O48" i="26"/>
  <c r="O47" i="26"/>
  <c r="O46" i="26"/>
  <c r="O45" i="26"/>
  <c r="O44" i="26"/>
  <c r="O43" i="26"/>
  <c r="O42" i="26"/>
  <c r="O41" i="26"/>
  <c r="O40" i="26"/>
  <c r="O55" i="26" l="1"/>
  <c r="O34" i="26"/>
  <c r="O33" i="26"/>
  <c r="C36" i="26"/>
  <c r="D36" i="26"/>
  <c r="E36" i="26"/>
  <c r="F36" i="26"/>
  <c r="G36" i="26"/>
  <c r="H36" i="26"/>
  <c r="I36" i="26"/>
  <c r="J36" i="26"/>
  <c r="K36" i="26"/>
  <c r="L36" i="26"/>
  <c r="M36" i="26"/>
  <c r="N36" i="26"/>
  <c r="B36" i="26"/>
  <c r="C29" i="26"/>
  <c r="D29" i="26"/>
  <c r="E29" i="26"/>
  <c r="F29" i="26"/>
  <c r="G29" i="26"/>
  <c r="H29" i="26"/>
  <c r="I29" i="26"/>
  <c r="J29" i="26"/>
  <c r="K29" i="26"/>
  <c r="L29" i="26"/>
  <c r="M29" i="26"/>
  <c r="B29" i="26"/>
  <c r="O28" i="26"/>
  <c r="O27" i="26"/>
  <c r="O26" i="26"/>
  <c r="O25" i="26"/>
  <c r="O24" i="26"/>
  <c r="C20" i="26"/>
  <c r="D20" i="26"/>
  <c r="E20" i="26"/>
  <c r="F20" i="26"/>
  <c r="G20" i="26"/>
  <c r="H20" i="26"/>
  <c r="I20" i="26"/>
  <c r="J20" i="26"/>
  <c r="K20" i="26"/>
  <c r="L20" i="26"/>
  <c r="M20" i="26"/>
  <c r="B20" i="26"/>
  <c r="O19" i="26"/>
  <c r="O18" i="26"/>
  <c r="C14" i="26"/>
  <c r="D14" i="26"/>
  <c r="E14" i="26"/>
  <c r="F14" i="26"/>
  <c r="G14" i="26"/>
  <c r="H14" i="26"/>
  <c r="I14" i="26"/>
  <c r="J14" i="26"/>
  <c r="K14" i="26"/>
  <c r="L14" i="26"/>
  <c r="M14" i="26"/>
  <c r="O6" i="26"/>
  <c r="O7" i="26"/>
  <c r="O8" i="26"/>
  <c r="O9" i="26"/>
  <c r="O10" i="26"/>
  <c r="O11" i="26"/>
  <c r="O12" i="26"/>
  <c r="O13" i="26"/>
  <c r="O5" i="26"/>
  <c r="O36" i="26" l="1"/>
  <c r="O20" i="26"/>
  <c r="O14" i="26"/>
  <c r="C31" i="28" l="1"/>
  <c r="E9" i="29" l="1"/>
  <c r="D9" i="29"/>
  <c r="C9" i="29"/>
  <c r="B9" i="29"/>
  <c r="C26" i="28" l="1"/>
  <c r="C32" i="28" s="1"/>
  <c r="C10" i="28" l="1"/>
  <c r="C21" i="21" l="1"/>
  <c r="C17" i="21"/>
  <c r="C8" i="21"/>
  <c r="C12" i="21" l="1"/>
  <c r="C13" i="21" s="1"/>
  <c r="B14" i="25" l="1"/>
  <c r="B21" i="25"/>
  <c r="C10" i="20" l="1"/>
  <c r="C14" i="20" s="1"/>
  <c r="C15" i="20" s="1"/>
  <c r="C11" i="19"/>
  <c r="C15" i="19" s="1"/>
  <c r="C16" i="19" s="1"/>
  <c r="C11" i="18"/>
  <c r="C14" i="18" l="1"/>
  <c r="C15" i="18" s="1"/>
  <c r="O28" i="14"/>
  <c r="O29" i="14"/>
  <c r="O30" i="14"/>
  <c r="O31" i="14"/>
  <c r="O32" i="14"/>
  <c r="O33" i="14"/>
  <c r="O34" i="14"/>
  <c r="O35" i="14"/>
  <c r="O36" i="14"/>
  <c r="O37" i="14"/>
  <c r="O27" i="14"/>
  <c r="O14" i="14"/>
  <c r="O15" i="14"/>
  <c r="O17" i="14"/>
  <c r="O18" i="14"/>
  <c r="O19" i="14"/>
  <c r="O20" i="14"/>
  <c r="O21" i="14"/>
  <c r="O22" i="14"/>
  <c r="O23" i="14"/>
  <c r="O24" i="14"/>
  <c r="O13" i="14"/>
  <c r="L43" i="14"/>
  <c r="E43" i="14"/>
  <c r="I42" i="14"/>
  <c r="N42" i="14" s="1"/>
  <c r="O42" i="14" s="1"/>
  <c r="G42" i="14"/>
  <c r="I41" i="14"/>
  <c r="N41" i="14" s="1"/>
  <c r="O41" i="14" s="1"/>
  <c r="G41" i="14"/>
  <c r="I40" i="14"/>
  <c r="C40" i="14"/>
  <c r="G40" i="14" s="1"/>
  <c r="L39" i="14"/>
  <c r="G39" i="14"/>
  <c r="E39" i="14"/>
  <c r="C39" i="14"/>
  <c r="L38" i="14"/>
  <c r="E38" i="14"/>
  <c r="C38" i="14"/>
  <c r="I37" i="14"/>
  <c r="N37" i="14" s="1"/>
  <c r="G37" i="14"/>
  <c r="I36" i="14"/>
  <c r="N36" i="14" s="1"/>
  <c r="G36" i="14"/>
  <c r="I35" i="14"/>
  <c r="N35" i="14" s="1"/>
  <c r="G35" i="14"/>
  <c r="I34" i="14"/>
  <c r="N34" i="14" s="1"/>
  <c r="G34" i="14"/>
  <c r="I33" i="14"/>
  <c r="N33" i="14" s="1"/>
  <c r="G33" i="14"/>
  <c r="I32" i="14"/>
  <c r="N32" i="14" s="1"/>
  <c r="G32" i="14"/>
  <c r="I31" i="14"/>
  <c r="N31" i="14" s="1"/>
  <c r="G31" i="14"/>
  <c r="I30" i="14"/>
  <c r="N30" i="14" s="1"/>
  <c r="G30" i="14"/>
  <c r="I29" i="14"/>
  <c r="N29" i="14" s="1"/>
  <c r="G29" i="14"/>
  <c r="N28" i="14"/>
  <c r="I28" i="14"/>
  <c r="G28" i="14"/>
  <c r="I27" i="14"/>
  <c r="G27" i="14"/>
  <c r="L26" i="14"/>
  <c r="G26" i="14"/>
  <c r="E26" i="14"/>
  <c r="C26" i="14"/>
  <c r="E25" i="14"/>
  <c r="C25" i="14"/>
  <c r="I24" i="14"/>
  <c r="N24" i="14" s="1"/>
  <c r="G24" i="14"/>
  <c r="I23" i="14"/>
  <c r="N23" i="14" s="1"/>
  <c r="G23" i="14"/>
  <c r="I22" i="14"/>
  <c r="N22" i="14" s="1"/>
  <c r="G22" i="14"/>
  <c r="I21" i="14"/>
  <c r="N21" i="14" s="1"/>
  <c r="G21" i="14"/>
  <c r="I20" i="14"/>
  <c r="N20" i="14" s="1"/>
  <c r="G20" i="14"/>
  <c r="I19" i="14"/>
  <c r="N19" i="14" s="1"/>
  <c r="G19" i="14"/>
  <c r="I18" i="14"/>
  <c r="N18" i="14" s="1"/>
  <c r="G18" i="14"/>
  <c r="I17" i="14"/>
  <c r="N17" i="14" s="1"/>
  <c r="G17" i="14"/>
  <c r="I16" i="14"/>
  <c r="L16" i="14" s="1"/>
  <c r="O16" i="14" s="1"/>
  <c r="G16" i="14"/>
  <c r="I15" i="14"/>
  <c r="N15" i="14" s="1"/>
  <c r="G15" i="14"/>
  <c r="I14" i="14"/>
  <c r="G14" i="14"/>
  <c r="I13" i="14"/>
  <c r="N13" i="14" s="1"/>
  <c r="G13" i="14"/>
  <c r="L12" i="14"/>
  <c r="G12" i="14"/>
  <c r="E12" i="14"/>
  <c r="C12" i="14"/>
  <c r="L10" i="14"/>
  <c r="G10" i="14"/>
  <c r="E10" i="14"/>
  <c r="C9" i="14"/>
  <c r="C10" i="14" s="1"/>
  <c r="I6" i="14"/>
  <c r="I10" i="14" s="1"/>
  <c r="N4" i="13"/>
  <c r="N6" i="13"/>
  <c r="G43" i="14" l="1"/>
  <c r="O38" i="14"/>
  <c r="I43" i="14"/>
  <c r="G38" i="14"/>
  <c r="O25" i="14"/>
  <c r="N10" i="14"/>
  <c r="E44" i="14"/>
  <c r="G25" i="14"/>
  <c r="G44" i="14" s="1"/>
  <c r="I25" i="14"/>
  <c r="I38" i="14"/>
  <c r="C43" i="14"/>
  <c r="C44" i="14" s="1"/>
  <c r="N16" i="14"/>
  <c r="L25" i="14"/>
  <c r="L44" i="14" s="1"/>
  <c r="N14" i="14"/>
  <c r="N27" i="14"/>
  <c r="N38" i="14" s="1"/>
  <c r="N40" i="14"/>
  <c r="N43" i="14" s="1"/>
  <c r="N25" i="14" l="1"/>
  <c r="N44" i="14" s="1"/>
  <c r="I44" i="14"/>
  <c r="O40" i="14"/>
  <c r="O43" i="14" s="1"/>
  <c r="O44" i="14" s="1"/>
  <c r="G13" i="5"/>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28" i="11"/>
  <c r="L43" i="5" l="1"/>
  <c r="L39" i="5"/>
  <c r="L38" i="5"/>
  <c r="L26" i="5"/>
  <c r="L12" i="5"/>
  <c r="L10" i="5"/>
  <c r="I42" i="5" l="1"/>
  <c r="N42" i="5" s="1"/>
  <c r="I40" i="5" l="1"/>
  <c r="N40" i="5" s="1"/>
  <c r="I15" i="5" l="1"/>
  <c r="N15" i="5" s="1"/>
  <c r="G15" i="5" l="1"/>
  <c r="I14" i="5" l="1"/>
  <c r="N14" i="5" s="1"/>
  <c r="I34" i="5" l="1"/>
  <c r="N34" i="5" s="1"/>
  <c r="I30" i="5"/>
  <c r="N30" i="5" s="1"/>
  <c r="I16" i="5"/>
  <c r="I28" i="5"/>
  <c r="N28" i="5" s="1"/>
  <c r="I6" i="5"/>
  <c r="I41" i="5"/>
  <c r="N41" i="5" s="1"/>
  <c r="N43" i="5" s="1"/>
  <c r="I29" i="5"/>
  <c r="N29" i="5" s="1"/>
  <c r="I31" i="5"/>
  <c r="N31" i="5" s="1"/>
  <c r="I32" i="5"/>
  <c r="N32" i="5" s="1"/>
  <c r="I33" i="5"/>
  <c r="N33" i="5" s="1"/>
  <c r="I35" i="5"/>
  <c r="N35" i="5" s="1"/>
  <c r="I36" i="5"/>
  <c r="N36" i="5" s="1"/>
  <c r="I37" i="5"/>
  <c r="N37" i="5" s="1"/>
  <c r="I27" i="5"/>
  <c r="N27" i="5" s="1"/>
  <c r="I17" i="5"/>
  <c r="N17" i="5" s="1"/>
  <c r="I18" i="5"/>
  <c r="N18" i="5" s="1"/>
  <c r="I19" i="5"/>
  <c r="N19" i="5" s="1"/>
  <c r="I20" i="5"/>
  <c r="N20" i="5" s="1"/>
  <c r="I21" i="5"/>
  <c r="N21" i="5" s="1"/>
  <c r="I22" i="5"/>
  <c r="N22" i="5" s="1"/>
  <c r="I23" i="5"/>
  <c r="N23" i="5" s="1"/>
  <c r="I24" i="5"/>
  <c r="N24" i="5" s="1"/>
  <c r="I13" i="5"/>
  <c r="N13" i="5" s="1"/>
  <c r="E43" i="5"/>
  <c r="G42" i="5"/>
  <c r="G41" i="5"/>
  <c r="C40" i="5"/>
  <c r="C43" i="5" s="1"/>
  <c r="G39" i="5"/>
  <c r="E39" i="5"/>
  <c r="C39" i="5"/>
  <c r="E38" i="5"/>
  <c r="C38" i="5"/>
  <c r="G37" i="5"/>
  <c r="G36" i="5"/>
  <c r="G35" i="5"/>
  <c r="G34" i="5"/>
  <c r="G33" i="5"/>
  <c r="G32" i="5"/>
  <c r="G31" i="5"/>
  <c r="G30" i="5"/>
  <c r="G29" i="5"/>
  <c r="G28" i="5"/>
  <c r="G27" i="5"/>
  <c r="G26" i="5"/>
  <c r="E26" i="5"/>
  <c r="C26" i="5"/>
  <c r="E25" i="5"/>
  <c r="C25" i="5"/>
  <c r="C44" i="5" s="1"/>
  <c r="G24" i="5"/>
  <c r="G23" i="5"/>
  <c r="G22" i="5"/>
  <c r="G21" i="5"/>
  <c r="G20" i="5"/>
  <c r="G19" i="5"/>
  <c r="G18" i="5"/>
  <c r="G17" i="5"/>
  <c r="G16" i="5"/>
  <c r="G14" i="5"/>
  <c r="G12" i="5"/>
  <c r="E12" i="5"/>
  <c r="C12" i="5"/>
  <c r="G10" i="5"/>
  <c r="E10" i="5"/>
  <c r="C10" i="5"/>
  <c r="C9" i="5"/>
  <c r="L16" i="5" l="1"/>
  <c r="L25" i="5" s="1"/>
  <c r="L44" i="5" s="1"/>
  <c r="N38" i="5"/>
  <c r="G25" i="5"/>
  <c r="E44" i="5"/>
  <c r="G38" i="5"/>
  <c r="I25" i="5"/>
  <c r="I10" i="5"/>
  <c r="I38" i="5"/>
  <c r="I43" i="5"/>
  <c r="G40" i="5"/>
  <c r="G43" i="5" s="1"/>
  <c r="N16" i="5" l="1"/>
  <c r="N25" i="5" s="1"/>
  <c r="N44" i="5" s="1"/>
  <c r="G44" i="5"/>
  <c r="I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7" authorId="0" shapeId="0" xr:uid="{DE230BAF-7433-42CE-8084-DB29D0F7AFEA}">
      <text>
        <r>
          <rPr>
            <sz val="9"/>
            <color indexed="81"/>
            <rFont val="Tahoma"/>
            <family val="2"/>
          </rPr>
          <t>Pettersson Ingela (petie) (petie) 2020-01-21 14:40:55: Kim räknat på 
1100kr/h på 160h/månad Pettersson Ingela (petie) (petie) 2020-01-21 
14:41:48: Jonas Fridman konsult ca. 175tkr/mån tom mars Pettersson Ingela 
(petie) (petie) 2020-01-21 14:43:35: Mats Kallmyr konsult timkostnad 1500kr 
jobbar till Juni Pettersson Ingela (petie) (petie) 2020-01-21 14:46:17: Vi 
kollar om detta är pengar som ska gå på staben eller kundtsjänstutveckling. 
Pengar utbildning av personal inom PDM Johansson Emil (jooel) (jooel) 
2020-02-25 10:20:52: justering av utfall januari Marklund Dennis (marde) 
(marde) 2020-02-27 11:00:30: Johan Kristiansson, utlånad till 
utbildningsproduktion, bedömning ca 8 000 kr / månad Viekhova Tetiana 
(viete) (viete) 2020-02-21 15:38:03: Maria Hoffman jobbar för Modellkontor 
jan-dec på heltid 700 tkr tot Viekhova Tetiana (viete) (viete) 2020-02-21 
15:33:39: Pernilla Stengård jobbar för Modellkontor jan-dec på heltid 
Andwret Åsa (asand) (asand) 2020-02-28 09:24:07: Avser den intäkt av löner 
som sker via kundfaktura till ESF-projekt enheten inte själv äger men 
medfinansierar. Är projekt i samarbete med Samordningsförbundet RAR 
Sörmland, Region Sörmland och Nyköpings kommun. Har ej fått klart från 
Ekonomistöd var intäkterna ska budgetars så de läggs på detta konto tills 
vidare. Intäkterna är inte de faktiska lönekostnaderna utan beräknade 
utifrån schablon. Fakturering sker efter att ett fakturaunderlag kommer 
från projektägarna nämnda ovan. Andwret Åsa (asand) (asand) 2020-02-27 
17:00:24: Inlagt för medarbetare med högriskskydd. Övriga bidrag från förra 
året härrör från Moderna beredskapsjobbare vars anställningar har upphört 
Andwret Åsa (asand) (asand) 2020-02-26 10:36:13: Beräknar ingen större 
ökning då det inte beräknas att vara lika stora kostnader för avtackning 
(blommor) som förra året Andwret Åsa (asand) (asand) 2020-02-26 11:06:45: 
Utgått från kostnaderna från både VO SÖK och AG. De sammanlagda kostnaderna 
med avdrag för felaktiga konteringar så är summan 194'. I SÖK läggs summan 
för 63% (~120') och AG 37% (~72'). Andwret Åsa (asand) (asand) 2020-02-24 
14:38:56: Utgått från kostnaderna från både VO SÖK och AG. De sammanlagda 
kostnaderna med avdrag för fruktkorgar så är summan 400'. I SÖK läggs 
summan för 63% (252') och AG 37% (148'). Andwret Åsa (asand) (asand) 
2020-02-26 15:26:15: Är för batteribyte och reparation av elcyklar som 
används i tjänsten Andwret Åsa (asand) (asand) 2020-02-26 15:28:38: Är 
kostnader för inhyrda väktare och annat som berör våra passersystem Andwret 
Åsa (asand) (asand) 2020-02-27 16:27:30: Summering (från konto 5446 och 
9411) av alla resekostnader som härrör från hyrda tjänstebilar, tåg och 
bussresor i tjänsten. Beräkningen utgår från 2:a halvåret 2019 och en 
dubblering utslaget på 12 månader. Görs efter kontakt med ekonom Andwret 
Åsa (asand) (asand) 2020-02-25 10:14:53: Maria Löfstedt: utlånad till 
Modellkontor Andwret Åsa (asand) (asand) 2020-02-27 16:53:29: Inget har 
budgeterats under 9411 utan allt som rör leasade tjänstebilar, tåg och 
bussresor och övrigt kring tjänsteresor är budgeterat på konto 5246. I 
samråd med ekonom och Ekonomistöd Magnusson Kroon Anna (magaa) (magaa) 
2020-03-02 12:00:32: Finansiering projekt Hälsofrämjande Etablering, 1 
utlånad personal till utbildningsproduktion 25% av tjänst under hela 2020 
(Caroline Dahlström), 1 heltid för Extrastöd i Gävleborg faktureras till 
kommunen. Sahlström Pirjo (sahpi) (sahpi) 2020-02-27 11:26:45: balansering 
mot utfall i jan 2020 Sahlström Pirjo (sahpi) (sahpi) 2020-02-26 15:23:26: 
balansering utfall jan 2020 Sahlström Pirjo (sahpi) (sahpi) 2020-02-26 
15:30:15: mot utfall jan 2020 Sahlström Pirjo (sahpi) (sahpi) 2020-02-27 
14:02:10: justerat mot utfall januari Hadad Payman (payha) (payha) 
2020-02-27 09:39:24: Avvikelser jan-feb jfm med budget Pettersson Ingela 
(petie) (petie) 2020-02-28 14:28:26: Intäkter som kommer från fakturering 
via samordningsförbundet för Tomas Hedlund och Maria Viklund Pettersson 
Ingela (petie) (petie) 2020-02-28 14:37:07: Tomas Hedlund är bara utlånad 
på heltid till Mars Pettersson Ingela (petie) (petie) 2020-02-28 16:43:01: 
Modellkontor Anna Marklund faktureras enligt Maria Wrisen Pihlwret Andreas 
(pihan) (pihan) 2020-02-26 10:26:33: Ers modellkontor Dahlgren Elisabeth 
(dahel) (dahel) 2020-03-02 14:20:47: Planerar 91 tkr för balans (isf 100 
tkr). Arnell Anette (arnae) (arnae) 2020-02-24 14:38:07: Kostnaderna har 
utgåtts från föregående halvår inom både ag och as. Därmed fördelats mellan 
ag 37 % 148tkr och as 252 tkr 63 %. Tagit bort frukt. Arnell Anette (arnae) 
(arnae) 2020-02-28 10:56:08: Mikaela Bäckqvist Modellkontor 55tkr/mån 
jan-dec. Enqvist-Bolin Katarina (engkt) (engkt) 2020-02-20 15:09:32: 
alexander junker, utbildningsproduktion, intäkt snitt 25% 9 månader Hadad 
Payman (payha) (payha) 2020-02-26 10:31:13: Kostnaden gäller jan avvikelse 
inför budget ska vara i balans Pettersson Ingela (petie) (petie) 2020-02-28 
16:33:33: Modellkontor Cecilia Rackne, faktureras enligt Maria Wrisen Zaar 
Ylva (peryl) (peryl) 2020-03-06 11:31:08: Delade kostnader för 
Innovationscenter Pettersson Ingela (petie) (petie) 2020-02-05 13:16:45: 2 
konsulter a 1,1mkr Socialamedier och intranät Pettersson Ingela (petie) 
(petie) 2020-02-05 13:56:53: Konsult kundanalytiker Fundhage Åke (akjon) 
(akjon) 2020-02-27 15:00:33: Ska ligga på Af Gem Fundhage Åke (akjon) 
(akjon) 2020-02-27 15:04:20: Reskostnader för Lena och enhetscheferna 
Viekhova Tetiana (viete) (viete) 2020-03-02 11:29:12: resten av 
personalmedel för att få balans i budgeten Pettersson Ingela (petie) 
(petie) 2020-01-29 16:59:42: Nätverksmöte e-förvaltningsjurister 14 maj 
inkl föreläsararvode Pettersson Ingela (petie) (petie) 2020-02-11 16:06:03: 
En enhetsdag och en avdelningskonferens Broby Tonje (brote) (brote) 
2020-02-12 16:31:39: 0 kr? 35 000 2019 var till statsstödskursen... // 
Tonje Werner Unni (werun) (werun) 2020-01-27 11:19:15: Att kontrollera 
gentemot AA Werner Unni (werun) (werun) 2020-01-27 11:25:26: Uppskattad 
siffra, att följa upp strikt löpande Coric Armin (corar) (corar) 2020-01-16 
10:33:57: Christer Ferm 7564kr/månad</t>
        </r>
      </text>
    </comment>
    <comment ref="D27" authorId="0" shapeId="0" xr:uid="{B2F6DF00-A3AF-49E4-B9D7-CCA5094A3FED}">
      <text>
        <r>
          <rPr>
            <sz val="9"/>
            <color indexed="81"/>
            <rFont val="Tahoma"/>
            <family val="2"/>
          </rPr>
          <t>Harju Sari (harsa) (harsa) 2020-02-26 18:06:52: Utlåning 
utbilningsproduktion Kicki S 9000 + Maria Hertin 8000 Sahlström Pirjo 
(sahpi) (sahpi) 2020-02-27 14:02:26: justering mot utfall feb Preinitz 
Emelie (halem) (halem) 2020-02-21 09:18:57: Chefscoaching i grupp (Insats 
för sektionscheferna med kommuncoacherna 5 halvdagar) Hadad Payman (payha) 
(payha) 2020-02-26 10:31:46: För att balansera feb utfall</t>
        </r>
      </text>
    </comment>
    <comment ref="E27" authorId="0" shapeId="0" xr:uid="{6A8CD275-90E7-4387-A3E2-AAD75F62BB7C}">
      <text>
        <r>
          <rPr>
            <sz val="9"/>
            <color indexed="81"/>
            <rFont val="Tahoma"/>
            <family val="2"/>
          </rPr>
          <t>Pettersson Ingela (petie) (petie) 2020-02-18 13:36:28: För att kunna ta 
konsulter eller anställa personal Dahlgren Elisabeth (dahel) (dahel) 
2020-03-02 13:56:15: Ledningskonferens Dahlgren Elisabeth (dahel) (dahel) 
2020-03-02 13:29:58: Ledningskonferens Dahlgren Elisabeth (dahel) (dahel) 
2020-02-28 12:12:48: I tilldelningen av förvaltningsmedel fick region mitt 
medel för Grensejänster. Dessa medel kommer att överföras till nya 
Euresorganisationen via bokföringsorder i mars.</t>
        </r>
      </text>
    </comment>
    <comment ref="F27" authorId="0" shapeId="0" xr:uid="{15DCACFC-8A0B-43A1-9544-2D9B8DB7FFEF}">
      <text>
        <r>
          <rPr>
            <sz val="9"/>
            <color indexed="81"/>
            <rFont val="Tahoma"/>
            <family val="2"/>
          </rPr>
          <t>Lingström Rikard (limrr) (limrr) 2020-02-26 13:18:09: Utvecklingskostnader 
för intensivåret som ska rekvireras av IT Pihlwret Andreas (pihan) (pihan) 
2020-02-25 12:14:36: Uppskattning av interndebitering för SDH personal i 
region Öst. Sker via interndebitering.</t>
        </r>
      </text>
    </comment>
    <comment ref="G27" authorId="0" shapeId="0" xr:uid="{F10ED3EC-F369-4734-B9AD-27989B064EBF}">
      <text>
        <r>
          <rPr>
            <sz val="9"/>
            <color indexed="81"/>
            <rFont val="Tahoma"/>
            <family val="2"/>
          </rPr>
          <t>Krikeb Souhila (krisl) (krisl) 2020-02-24 10:38:50: VINR Andersson Maria 
(anoma) (anoma) 2020-02-26 22:23:16: Prel 
Verksamhetsdag/Kompetensutveckling/Friskvårdsdag 35 000 &amp; 
Chefsutvecklingsinsats 30 000 kr Fundhage Åke (akjon) (akjon) 2020-03-05 
12:32:20: Avser konsulter till RC och KF</t>
        </r>
      </text>
    </comment>
    <comment ref="H27" authorId="0" shapeId="0" xr:uid="{EEDF5419-32E4-4C4E-87F9-BADD0DF2FB22}">
      <text>
        <r>
          <rPr>
            <sz val="9"/>
            <color indexed="81"/>
            <rFont val="Tahoma"/>
            <family val="2"/>
          </rPr>
          <t>Kotsakidis Johannes (kotjo) (kotjo) 2020-02-04 15:12:27: 50`omfattar God 
förvaltning, road trip,</t>
        </r>
      </text>
    </comment>
    <comment ref="K27" authorId="0" shapeId="0" xr:uid="{2B033AA0-5879-4E07-B246-D431C3CBB098}">
      <text>
        <r>
          <rPr>
            <sz val="9"/>
            <color indexed="81"/>
            <rFont val="Tahoma"/>
            <family val="2"/>
          </rPr>
          <t>Krikeb Souhila (krisl) (krisl) 2020-02-24 10:38:28: VINR konferenser 
regionala ca 900 deltagare Fundhage Åke (akjon) (akjon) 2020-03-05 
12:11:00: Avser särskild pott som HR fått för kompetensutveckling utifrån 
reformeringen 9 mkr totalt</t>
        </r>
      </text>
    </comment>
    <comment ref="L27" authorId="0" shapeId="0" xr:uid="{5D4EB30C-B591-4780-B5F4-E772716453F4}">
      <text>
        <r>
          <rPr>
            <sz val="9"/>
            <color indexed="81"/>
            <rFont val="Tahoma"/>
            <family val="2"/>
          </rPr>
          <t>Dahlgren Elisabeth (dahel) (dahel) 2020-03-02 13:56:48: Ledningskonferens 
Dahlgren Elisabeth (dahel) (dahel) 2020-03-02 13:30:09: Ledningskonferens 
Andersson Maria (anoma) (anoma) 2020-02-26 22:24:07: 
Verksamhetsdag/Kompetensutveckling/Friskvårdsdag 35 000</t>
        </r>
      </text>
    </comment>
    <comment ref="M27" authorId="0" shapeId="0" xr:uid="{A2DF5308-B6F5-4F66-8325-654F0A5E1E50}">
      <text>
        <r>
          <rPr>
            <sz val="9"/>
            <color indexed="81"/>
            <rFont val="Tahoma"/>
            <family val="2"/>
          </rPr>
          <t>Krikeb Souhila (krisl) (krisl) 2020-02-24 10:39:03: VINR</t>
        </r>
      </text>
    </comment>
    <comment ref="N27" authorId="0" shapeId="0" xr:uid="{159C7438-148A-4586-860B-B1D64281F2E6}">
      <text>
        <r>
          <rPr>
            <sz val="9"/>
            <color indexed="81"/>
            <rFont val="Tahoma"/>
            <family val="2"/>
          </rPr>
          <t>Pihlwret Andreas (pihan) (pihan) 2020-02-27 11:07:51: Debitering gemensam 
personal stab AG+SÖK Dahlgren Elisabeth (dahel) (dahel) 2020-03-02 
14:00:34: Jullunch ledningsgrupp Andwret Åsa (asand) (asand) 2020-02-26 
11:19:04: Eventuell jullunch via catering enligt beräkning 400:- * 110 
medarbetare + 2000:- för ev kringkostnader. Pihlwret Andreas (pihan) 
(pihan) 2020-02-27 11:10:35: Ersättning gemensam personal stab AG+SÖK. 
Dahlgren Elisabeth (dahel) (dahel) 2020-03-02 13:32:51: Jullunch 
ledningsgrupp Dahlgren Elisabeth (dahel) (dahel) 2020-02-28 12:30:03: 
Jullunch stab + ESF-projektledare samt ledningsgrupp region Andersson Maria 
(anoma) (anoma) 2020-02-25 15:01:30: Julbord Arnell Anette (arnae) (arnae) 
2020-02-28 11:11:36: Ev jullunch 400x46 personal? Lägger in detta 200228 
Amlert Cristofer (goncr) (goncr) 2020-02-27 15:40:30: 4st bilar varav 3 på 
Gotland Fundhage Åke (akjon) (akjon) 2020-03-05 12:20:11: Reserv 
HR-avdelningen för rekryteringsköp</t>
        </r>
      </text>
    </comment>
    <comment ref="C40" authorId="0" shapeId="0" xr:uid="{5BBD8F3E-15EC-4365-AB82-EF656B1871CE}">
      <text>
        <r>
          <rPr>
            <sz val="9"/>
            <color indexed="81"/>
            <rFont val="Tahoma"/>
            <family val="2"/>
          </rPr>
          <t>Du Rietz Malin (riema) (riema) 2020-04-24 11:02:56: Intäkt LFT medarbetare</t>
        </r>
      </text>
    </comment>
    <comment ref="F40" authorId="0" shapeId="0" xr:uid="{97E24824-772F-4F0F-A4A7-F07884E2E88F}">
      <text>
        <r>
          <rPr>
            <sz val="9"/>
            <color indexed="81"/>
            <rFont val="Tahoma"/>
            <family val="2"/>
          </rPr>
          <t>Pettersson Ingela (petie) (petie) 2020-04-20 16:31:29: Två konsulter under 
hela året Pihlwret Andreas (pihan) (pihan) 2020-05-06 19:51:57: Väktare 
Pihlwret Andreas (pihan) (pihan) 2020-04-28 17:42:25: Nevtelen Pihlwret 
Andreas (pihan) (pihan) 2020-05-06 10:55:34: Ombokningar för personal som 
felaktigt haft en grundkontering kopplad till Kronoberg men organisatoriskt 
tillhör andra regioner. Du Rietz Malin (riema) (riema) 2020-04-24 11:03:47: 
Intäkt projekt Enter Harju Sari (harsa) (harsa) 2020-05-07 14:55:32: Avser 
resekostnader egenbil tåg Harju Sari (harsa) (harsa) 2020-05-07 14:58:06: 
17´för utlåning till utb produktion + 48000 för de tre vi lånar till pdm. 
Karin och Barbro halv månad Harju Sari (harsa) (harsa) 2020-05-07 14:54:58: 
Avser bilhyra tjänstebil Bessmert Maxim (besma) (besma) 2020-05-04 
11:12:17: Väktare Corona Trollbäck Eldh Lisen (trols) (trols) 2020-05-04 
16:09:02: Utköp + ogulden semesterön + slutlöner Hadad Payman (payha) 
(payha) 2020-05-06 16:01:19: Personal till PDM i 3 månader Nikola Ninos 
(nikni) (nikni) 2020-05-04 13:27:36: Interna resor kommer från AF-resor på 
tjänstebilen.</t>
        </r>
      </text>
    </comment>
    <comment ref="G40" authorId="0" shapeId="0" xr:uid="{04645BA8-2D0A-4BBE-B5FD-974C1F4FB645}">
      <text>
        <r>
          <rPr>
            <sz val="9"/>
            <color indexed="81"/>
            <rFont val="Tahoma"/>
            <family val="2"/>
          </rPr>
          <t>Pettersson Ingela (petie) (petie) 2020-05-12 14:54:49: innovationsdag 
omföring från gemensamma kostnader och ligger på kostnadsställe 
innovationscenter Pettersson Ingela (petie) (petie) 2020-05-12 08:15:00: 
950tkr från maj - dec. uppdrag för etableringsjobb. till en totalkostnad 
med 7,4mkr Pettersson Ingela (petie) (petie) 2020-04-29 11:29:39: 
Utbildning choaching tele Pihlwret Andreas (pihan) (pihan) 2020-05-07 
12:51:46: Justering av lönekostnader för 4 medarbetare på AG 
regiongemensamma uppdrag som felaktigt bokförs på enheten. Dahlgren 
Elisabeth (dahel) (dahel) 2020-05-07 08:51:53: Omföring till Uppsala FE 
Dahlgren Elisabeth (dahel) (dahel) 2020-05-11 12:58:08: Hade lagt -122 tkr, 
men lönen var bokförd på 79520. Tar bort här. Dahlgren Elisabeth (dahel) 
(dahel) 2020-05-11 12:58:55: 60 tkr avser Håkan H april - kommer omföras 
Harju Sari (harsa) (harsa) 2020-05-07 14:18:12: avser inlåning Sius 
6/4-31/5 Trollbäck Eldh Lisen (trols) (trols) 2020-05-04 16:08:00: Omföring 
SÅ från AG Ekman Ann-Charlotte (ekeac) (ekeac) 2020-04-29 09:47:49: Omföra 
intäkten Sandberg Camilla (sancm) (sancm) 2020-04-24 09:26:25: Utlåning 
till PDM Steg 1 Kåsby Jimmy (kasji) (kasji) 2020-05-06 15:21:35: 
Konsultkostnaderna skall gå på IMM. Planerat 20,6mkr till IMM på helår 
Pettersson Ingela (petie) (petie) 2020-05-07 15:48:34: Ulf + brevtals svar 
med början i mitten av maj och året ut Pettersson Ingela (petie) (petie) 
2020-05-07 15:44:46: Semantix fakturor görs omföring på till 
gemensammakostnader Pettersson Ingela (petie) (petie) 2020-05-08 13:36:09: 
2 konsulter från mitten av maj, beräknad timlön 1000kr Pettersson Ingela 
(petie) (petie) 2020-05-08 13:36:34: Avser extra pengar för 
kriskommunikation Pettersson Ingela (petie) (petie) 2020-05-08 13:38:07: 
Lägger till så det blir 3 konsulter istället för 2 Pettersson Ingela 
(petie) (petie) 2020-05-08 13:40:14: 3 konsulter räknas med från mitten av 
maj och resten av året. Kris kommunikation Kruse Martin (krumn) (krumn) 
2020-05-07 14:27:04: Konsult inköpare</t>
        </r>
      </text>
    </comment>
    <comment ref="H40" authorId="0" shapeId="0" xr:uid="{42F056CE-E315-4B11-ABE6-5BFB38341DFD}">
      <text>
        <r>
          <rPr>
            <sz val="9"/>
            <color indexed="81"/>
            <rFont val="Tahoma"/>
            <family val="2"/>
          </rPr>
          <t>Pihlwret Andreas (pihan) (pihan) 2020-05-08 10:28:37: Internkreditering för 
utlånad personal inom regionen. Pihlwret Andreas (pihan) (pihan) 2020-05-08 
09:29:25: Interndebitering för inlånad personal inom regionen. Pihlwret 
Andreas (pihan) (pihan) 2020-05-08 11:46:06: Internkreditering för utlånad 
personal inom regionen.</t>
        </r>
      </text>
    </comment>
    <comment ref="I40" authorId="0" shapeId="0" xr:uid="{6F2969BE-B7E3-4A74-AEC5-12B5E34A7185}">
      <text>
        <r>
          <rPr>
            <sz val="9"/>
            <color indexed="81"/>
            <rFont val="Tahoma"/>
            <family val="2"/>
          </rPr>
          <t>Pettersson Ingela (petie) (petie) 2020-05-05 11:34:10: För eventuellt intag 
av konsulter Ahlstedt Eleonor (pepeo) (pepeo) 2020-04-23 10:03:13: Intäkt 
från AG Östergötland för vaktmästare jan-juni 40%. Harju Sari (harsa) 
(harsa) 2020-05-07 10:40:56: Halva månaden för de 3 vi lånar till PDM 
Sjödin Maja (sjsmj) (sjsmj) 2020-05-12 13:50:36: Kostnad för Emilie 
Videnord jan-juni 2020. Åter från universitet i Ghent.</t>
        </r>
      </text>
    </comment>
    <comment ref="J40" authorId="0" shapeId="0" xr:uid="{DF034F1F-59E9-45F8-BA6E-91653B1ACB84}">
      <text>
        <r>
          <rPr>
            <sz val="9"/>
            <color indexed="81"/>
            <rFont val="Tahoma"/>
            <family val="2"/>
          </rPr>
          <t>Pettersson Ingela (petie) (petie) 2020-05-06 13:04:22: etableringsjobb 
Ekman Ann-Charlotte (ekeac) (ekeac) 2020-04-22 15:11:50: Mikael Lundqvist 
10%, var tredje månad</t>
        </r>
      </text>
    </comment>
    <comment ref="K40" authorId="0" shapeId="0" xr:uid="{CCD3C01D-6EBB-43D5-96B9-413BC09D135E}">
      <text>
        <r>
          <rPr>
            <sz val="9"/>
            <color indexed="81"/>
            <rFont val="Tahoma"/>
            <family val="2"/>
          </rPr>
          <t>Krikeb Souhila (krisl) (krisl) 2020-05-07 13:08:06: It utveckling intensiv 
året</t>
        </r>
      </text>
    </comment>
    <comment ref="M40" authorId="0" shapeId="0" xr:uid="{7AE74C06-30A9-4C05-B059-9D4560B33D4C}">
      <text>
        <r>
          <rPr>
            <sz val="9"/>
            <color indexed="81"/>
            <rFont val="Tahoma"/>
            <family val="2"/>
          </rPr>
          <t>Sandberg Adam (sanad) (sanad) 2020-04-29 08:17:04: Intäkt vaktmästare 
april-dec. 27500x1,5x12x0,4 Intäkt (30 %) socialkonsulent sept-dec 
38800x1,5x4x0,3 Ahlstedt Eleonor (pepeo) (pepeo) 2020-04-24 10:26:09: 
Socialkonsulent lånas av Södra Östergötland 30% 1/9-31/12 Johansson Tina 
(jotin) (jotin) 2020-04-15 13:47:41: Kostnad för vaktmästare - omföring</t>
        </r>
      </text>
    </comment>
    <comment ref="N40" authorId="0" shapeId="0" xr:uid="{FC4FCE07-D9D1-45E0-AC2E-144C668AB448}">
      <text>
        <r>
          <rPr>
            <sz val="9"/>
            <color indexed="81"/>
            <rFont val="Tahoma"/>
            <family val="2"/>
          </rPr>
          <t>Sjödin Maja (sjsmj) (sjsmj) 2020-05-12 14:46:21: Inkomst fr Ghent uni. 
Emilie Videnords lön juli-dec 2020 Fundhage Åke (akjon) (akjon) 2020-05-12 
17:03:04: 2038 består av minskning marsprognos 553 samt din reserv 1485 för 
att kunna hålla minskningen i beräkningen då de inte minskat tilldelningen 
i Stella.</t>
        </r>
      </text>
    </comment>
    <comment ref="C75" authorId="0" shapeId="0" xr:uid="{135963B9-0505-4F36-86A1-43D2AFE20972}">
      <text>
        <r>
          <rPr>
            <sz val="9"/>
            <color indexed="81"/>
            <rFont val="Tahoma"/>
            <family val="2"/>
          </rPr>
          <t>Zaar Ylva (peryl) (peryl) 2020-03-06 16:47:43: Pentester Fundhage Åke 
(akjon) (akjon) 2020-02-27 13:28:02: Fritidsföreningar och stugförening 
Fundhage Åke (akjon) (akjon) 2020-03-03 14:07:00: Skadestånd fackliga och 
medarbetare Fundhage Åke (akjon) (akjon) 2020-02-27 13:28:23: Julgåva Coric 
Armin (corar) (corar) 2020-02-20 16:10:25: Vi kommer inta att ha utfall på 
konto 4190. de ingår i LKP Coric Armin (corar) (corar) 2020-02-19 09:41:40: 
vid nästa prognos tillfälle vi ska redovisa behöv för 29880 Tkr. Bifogat 
dokument: Planering 2020 lokaler omst�llning.png Viekhova Tetiana (viete) 
(viete) 2020-03-05 09:34:46: inklusive 1446 tkr är fakturor jan -febr 2020</t>
        </r>
      </text>
    </comment>
    <comment ref="F75" authorId="0" shapeId="0" xr:uid="{A55C4C9A-A21A-4919-94FF-730DD299E43A}">
      <text>
        <r>
          <rPr>
            <sz val="9"/>
            <color indexed="81"/>
            <rFont val="Tahoma"/>
            <family val="2"/>
          </rPr>
          <t>Pettersson Ingela (petie) (petie) 2020-02-12 09:56:09: Medlemsavgift ISSA</t>
        </r>
      </text>
    </comment>
    <comment ref="H75" authorId="0" shapeId="0" xr:uid="{4D6A70A6-0D6B-4FF7-96AB-B87F20CB4997}">
      <text>
        <r>
          <rPr>
            <sz val="9"/>
            <color indexed="81"/>
            <rFont val="Tahoma"/>
            <family val="2"/>
          </rPr>
          <t>Viekhova Tetiana (viete) (viete) 2020-03-04 16:28:53: Stockholms 
universitet</t>
        </r>
      </text>
    </comment>
    <comment ref="K75" authorId="0" shapeId="0" xr:uid="{BECB0DBB-CC9A-42EB-9156-4E9F10949DCE}">
      <text>
        <r>
          <rPr>
            <sz val="9"/>
            <color indexed="81"/>
            <rFont val="Tahoma"/>
            <family val="2"/>
          </rPr>
          <t>Kotsakidis Johannes (kotjo) (kotjo) 2020-02-04 15:21:43: avser Zeteo, 
licenskostnader för hela myndigheten</t>
        </r>
      </text>
    </comment>
    <comment ref="L75" authorId="0" shapeId="0" xr:uid="{385E96EE-F1B6-4B4E-973C-C44995040AC3}">
      <text>
        <r>
          <rPr>
            <sz val="9"/>
            <color indexed="81"/>
            <rFont val="Tahoma"/>
            <family val="2"/>
          </rPr>
          <t>Krikeb Souhila (krisl) (krisl) 2020-02-26 13:45:01: Kostnad för köpt 
rapport från SCB</t>
        </r>
      </text>
    </comment>
    <comment ref="M75" authorId="0" shapeId="0" xr:uid="{365BD1EB-B798-4807-9D13-9E6AC87E551C}">
      <text>
        <r>
          <rPr>
            <sz val="9"/>
            <color indexed="81"/>
            <rFont val="Tahoma"/>
            <family val="2"/>
          </rPr>
          <t>Fundhage Åke (akjon) (akjon) 2020-02-27 13:26:57: Nyckeltal</t>
        </r>
      </text>
    </comment>
    <comment ref="F87" authorId="0" shapeId="0" xr:uid="{1052696E-0B8B-4C09-9769-0BC42B364B64}">
      <text>
        <r>
          <rPr>
            <sz val="9"/>
            <color indexed="81"/>
            <rFont val="Tahoma"/>
            <family val="2"/>
          </rPr>
          <t>Sjödin Maja (sjsmj) (sjsmj) 2020-05-06 16:08:16: Kostnad för Aga på 
McKinley Adeen Stefan (adest) (adest) 2020-05-06 12:38:43: Pentester Adeen 
Stefan (adest) (adest) 2020-05-06 12:44:04: FP + CR + Kurir</t>
        </r>
      </text>
    </comment>
    <comment ref="G87" authorId="0" shapeId="0" xr:uid="{A9922E2C-E0F0-4C60-926A-869F8C14A87D}">
      <text>
        <r>
          <rPr>
            <sz val="9"/>
            <color indexed="81"/>
            <rFont val="Tahoma"/>
            <family val="2"/>
          </rPr>
          <t>Pettersson Ingela (petie) (petie) 2020-05-12 14:56:42: Innovationsdag 
omföring ska göras till förvaltning Sjödin Maja (sjsmj) (sjsmj) 2020-05-06 
16:10:20: Kostnad för Aga på McKinley</t>
        </r>
      </text>
    </comment>
    <comment ref="H87" authorId="0" shapeId="0" xr:uid="{A5146DD2-7134-429D-BFD9-318319FFE4A7}">
      <text>
        <r>
          <rPr>
            <sz val="9"/>
            <color indexed="81"/>
            <rFont val="Tahoma"/>
            <family val="2"/>
          </rPr>
          <t>Sjödin Maja (sjsmj) (sjsmj) 2020-05-06 16:11:21: Kostnad för Aga på 
McKinley Pettersson Ingela (petie) (petie) 2020-05-08 13:48:57: Köpt media 
kris kommunikation</t>
        </r>
      </text>
    </comment>
    <comment ref="J87" authorId="0" shapeId="0" xr:uid="{8D669DC7-F772-4722-989D-FAABA4D67254}">
      <text>
        <r>
          <rPr>
            <sz val="9"/>
            <color indexed="81"/>
            <rFont val="Tahoma"/>
            <family val="2"/>
          </rPr>
          <t>Adeen Stefan (adest) (adest) 2020-05-06 12:50:32: Ytterligare CR-licenser 
för serverutrullningen</t>
        </r>
      </text>
    </comment>
    <comment ref="K87" authorId="0" shapeId="0" xr:uid="{BDCF7D6C-B5B4-45AB-BF3E-EA4684D81A44}">
      <text>
        <r>
          <rPr>
            <sz val="9"/>
            <color indexed="81"/>
            <rFont val="Tahoma"/>
            <family val="2"/>
          </rPr>
          <t>Adeen Stefan (adest) (adest) 2020-05-06 12:44:32: Tillkommer 
sårbarhetsscanner Pettersson Ingela (petie) (petie) 2020-05-08 09:11:11: 
125 employing fyra månader Pettersson Ingela (petie) (petie) 2020-05-08 
09:11:49: Chefsmöten 700tkr Pettersson Ingela (petie) (petie) 2020-05-08 
09:13:42: Mediaträning och budskapsformulering ca. 300tkr totalt sept/okt 
(150)</t>
        </r>
      </text>
    </comment>
    <comment ref="L87" authorId="0" shapeId="0" xr:uid="{55AA29C3-1CB5-4CA6-99DC-A5308D1C037E}">
      <text>
        <r>
          <rPr>
            <sz val="9"/>
            <color indexed="81"/>
            <rFont val="Tahoma"/>
            <family val="2"/>
          </rPr>
          <t>Pettersson Ingela (petie) (petie) 2020-05-08 09:12:36: Emplying 125tkr fyra 
månader 500tkr totalt. 700 chefsmöte okt/nov 350tkr</t>
        </r>
      </text>
    </comment>
    <comment ref="M87" authorId="0" shapeId="0" xr:uid="{E079EB9D-FAB6-4A46-B706-98F83D2A6D4A}">
      <text>
        <r>
          <rPr>
            <sz val="9"/>
            <color indexed="81"/>
            <rFont val="Tahoma"/>
            <family val="2"/>
          </rPr>
          <t>Adeen Stefan (adest) (adest) 2020-05-06 12:30:36: Tillkommer 700' för säker 
hantering av inkommande filer</t>
        </r>
      </text>
    </comment>
    <comment ref="N87" authorId="0" shapeId="0" xr:uid="{99938175-AF07-4B32-8C49-4875F73DF333}">
      <text>
        <r>
          <rPr>
            <sz val="9"/>
            <color indexed="81"/>
            <rFont val="Tahoma"/>
            <family val="2"/>
          </rPr>
          <t>Fundhage Åke (akjon) (akjon) Igår 17:57:38: 3026 ordinarie + 1975 tkr för 
att lämna tillbaka 4 mkr</t>
        </r>
      </text>
    </comment>
  </commentList>
</comments>
</file>

<file path=xl/sharedStrings.xml><?xml version="1.0" encoding="utf-8"?>
<sst xmlns="http://schemas.openxmlformats.org/spreadsheetml/2006/main" count="589" uniqueCount="227">
  <si>
    <t>UO14 Anslag 1:1 ap1 Förvaltningsanslaget 2020</t>
  </si>
  <si>
    <t>Belopp tkr</t>
  </si>
  <si>
    <t>Finansiering</t>
  </si>
  <si>
    <t>Tilldelning 2020</t>
  </si>
  <si>
    <t>Prognos 27 mars</t>
  </si>
  <si>
    <t>Skillnad tilldelning / prognos</t>
  </si>
  <si>
    <t>Anslag enl Regleringsbrev</t>
  </si>
  <si>
    <t>Överföring från föregående år</t>
  </si>
  <si>
    <t>Anslagskredit</t>
  </si>
  <si>
    <t>Disponibla medel</t>
  </si>
  <si>
    <t>Förvaltning</t>
  </si>
  <si>
    <t>VO Arbetsgivare</t>
  </si>
  <si>
    <t>VO Arbetssökande</t>
  </si>
  <si>
    <t>VO Direkt</t>
  </si>
  <si>
    <t>VO IT</t>
  </si>
  <si>
    <t xml:space="preserve">Ledningsstaben </t>
  </si>
  <si>
    <t>Staben strategisk förändring</t>
  </si>
  <si>
    <t>Internrevisionen</t>
  </si>
  <si>
    <t>Analysavdelningen</t>
  </si>
  <si>
    <t>Kommunikationsavdelningen</t>
  </si>
  <si>
    <t>Förvaltningsavdelningen</t>
  </si>
  <si>
    <t>HR-avdelningen</t>
  </si>
  <si>
    <t>Rättsavdelningen</t>
  </si>
  <si>
    <t>Gemensamma kostnader</t>
  </si>
  <si>
    <t>Övrig redovisning</t>
  </si>
  <si>
    <t>Övrig finans (OH-Sius m fl)</t>
  </si>
  <si>
    <t>Avskrivningar</t>
  </si>
  <si>
    <t>GD reserv</t>
  </si>
  <si>
    <t>Totalt fördelat</t>
  </si>
  <si>
    <t>Kommentar</t>
  </si>
  <si>
    <t>Sparade från fregående år</t>
  </si>
  <si>
    <t>23 mnkr till GD reserv, 30 mnkr till Asök</t>
  </si>
  <si>
    <t>Vårändringsbudget (VÄB)</t>
  </si>
  <si>
    <t>VÄB 2020</t>
  </si>
  <si>
    <t>20 mnkr för utökning PDM -licenser</t>
  </si>
  <si>
    <t>10 mnkr från GD-reserv produktionskap, 5 mnkr för Coronaaktiviteter</t>
  </si>
  <si>
    <t>Arbete pågor för att minska underskottet under 2020</t>
  </si>
  <si>
    <t>Arbete pågor för att minska underskottet under 2020, 30 mnkr från Strategisk förändring</t>
  </si>
  <si>
    <t>Justering -49 mnkr (ändring 5 mars)</t>
  </si>
  <si>
    <t>55 mnkr minskade intäkter för SIUS</t>
  </si>
  <si>
    <t>Återlämning medel utvecklingstid, 6 mån 225 mnkr flytt av SIUS m.m. till PDM</t>
  </si>
  <si>
    <t>225 mnkr till VO Direkt, 20 mnkr till IT, 5 mnkr till kommunikation, 55 mnkr till övriga redovisning</t>
  </si>
  <si>
    <t>uppgår till 4,5 % pga höjt anslag</t>
  </si>
  <si>
    <t>Prognos 13 maj</t>
  </si>
  <si>
    <t>testutrustning samt statistikrapporter från SCB.</t>
  </si>
  <si>
    <t>Den främsta orsaken till överskottet av kompetensutvecklingsmedel är färre genomförda utbildningar med anledning av covid-19. Som en effekt av detta ser vi också minskade reskostnader för deltagare, utbildningsledare och egen personal.</t>
  </si>
  <si>
    <t>Förvaltningsanslaget har ett underskott med 5 Msek vilket är för att stärka upp med extra resurser på grund av den ökade arbetstopp som kommit i och medCoronapandemin, dessa pengar är tillsatta i prognosen från GD.</t>
  </si>
  <si>
    <t>Utfall mot budget och prognos</t>
  </si>
  <si>
    <t>2020-05-14 14:11:38, Tusental</t>
  </si>
  <si>
    <t>Organisation: 10T GENERALDIREKTÖR</t>
  </si>
  <si>
    <t>Nivå: 1</t>
  </si>
  <si>
    <t>År: 2020</t>
  </si>
  <si>
    <t>Anslag: 20-14-1:01 14, 1:1 Förvaltning</t>
  </si>
  <si>
    <t>Välj prognos: P04 Ur1</t>
  </si>
  <si>
    <t/>
  </si>
  <si>
    <t>2020</t>
  </si>
  <si>
    <t>Jan</t>
  </si>
  <si>
    <t>Feb</t>
  </si>
  <si>
    <t>Mar</t>
  </si>
  <si>
    <t>Apr</t>
  </si>
  <si>
    <t>Maj</t>
  </si>
  <si>
    <t>Jun</t>
  </si>
  <si>
    <t>Jul</t>
  </si>
  <si>
    <t>Aug</t>
  </si>
  <si>
    <t>Sep</t>
  </si>
  <si>
    <t>Okt</t>
  </si>
  <si>
    <t>Nov</t>
  </si>
  <si>
    <t>Dec</t>
  </si>
  <si>
    <t>14, 1:1:1 Förvaltning</t>
  </si>
  <si>
    <t>Utfall</t>
  </si>
  <si>
    <t xml:space="preserve">    0 Kod saknas</t>
  </si>
  <si>
    <t xml:space="preserve">    11T STABSSTÖD 1</t>
  </si>
  <si>
    <t xml:space="preserve">    12T LEDNINGSSTABEN</t>
  </si>
  <si>
    <t xml:space="preserve">    15T INTERNREVISION</t>
  </si>
  <si>
    <t xml:space="preserve">    53T AF DIREKT</t>
  </si>
  <si>
    <t xml:space="preserve">    54T ARBETSSÖKANDE</t>
  </si>
  <si>
    <t xml:space="preserve">    55T ARBETSGIVARE</t>
  </si>
  <si>
    <t xml:space="preserve">    71T AVD ANALYS</t>
  </si>
  <si>
    <t xml:space="preserve">    73T AVD IT</t>
  </si>
  <si>
    <t xml:space="preserve">    74T AVD KOMMUNIKATION</t>
  </si>
  <si>
    <t xml:space="preserve">    75T AVD HR</t>
  </si>
  <si>
    <t xml:space="preserve">    80T RÄTTSAVD</t>
  </si>
  <si>
    <t xml:space="preserve">    84T AVD FÖRVALTNING</t>
  </si>
  <si>
    <t xml:space="preserve">    87T AVD STRATEGISK FÖRÄNDRING</t>
  </si>
  <si>
    <t xml:space="preserve">    ÖRT Övrig redovisning</t>
  </si>
  <si>
    <t>Budget</t>
  </si>
  <si>
    <t>Ur1</t>
  </si>
  <si>
    <t>Avvikelse budget</t>
  </si>
  <si>
    <t>Avvikelse prognos</t>
  </si>
  <si>
    <t xml:space="preserve"> </t>
  </si>
  <si>
    <t>Ackumulerat utfall</t>
  </si>
  <si>
    <t>Ackumulerad budget</t>
  </si>
  <si>
    <t>Ackumulerad prognos</t>
  </si>
  <si>
    <t>14, 1:1:1 AF Gemensam</t>
  </si>
  <si>
    <t>14, 1:1:1 Övrig redovisning</t>
  </si>
  <si>
    <t>Summa jan-dec</t>
  </si>
  <si>
    <t>Beslut 27 april</t>
  </si>
  <si>
    <t>Skillnad beslut 27 april/ prognos 13 maj</t>
  </si>
  <si>
    <t xml:space="preserve">10 Msek har tillsatts för kampanjmedel i syfte att minska oönskad efterfråga. 4,9 Msek är överskott för vårens planerade chefsmöten som  inte har kunnat genomföras och borde ha tagits i beaktning tidigare, detta medför att avdelningen har ett underskott med 5,1 Msek. </t>
  </si>
  <si>
    <t>Af Gem. bedöms gå mot ett överskott på 19,2 Mkr på grund av minskade kostnader för omställning lokaler 14,7 Mkr samt att kostnader för medlemsavgifter till arbetsgivarverket 4,5 Mkr felaktigt har belastat avdelningens AF gemensamma medel.</t>
  </si>
  <si>
    <t>Reserv/ 13 360 mnkr</t>
  </si>
  <si>
    <t>Reserv/ 68 722 mnkr</t>
  </si>
  <si>
    <t>Summa</t>
  </si>
  <si>
    <t>minskade ”intäkterna” beror på att vi bedömer att anställda i genomsnitt kommer ta ut två dagar mindre vilket gör att anslagsbelastningen för semesterlönekostnaden nu bedöms bli 50 mnkr. (Vi gjorde ju någon snabb beräkning av att varje semesterdag skulle kosta 2 500 kr/person och att vi är 10 000 anställda).</t>
  </si>
  <si>
    <t>Stärka upp HR avd/Kompförsörjn inför nya organisationsanpassningen  och för myndigheten möjliggöra rekrytering och kompetensutvecklings insatser.</t>
  </si>
  <si>
    <t>Skillnad tilldelning 2020/ prognos 13 maj</t>
  </si>
  <si>
    <t xml:space="preserve">Avvikelsen beror på förstärkning av resurser, i huvudsak jurister. </t>
  </si>
  <si>
    <t xml:space="preserve">Rättsavdelningens bedömning att tilldelade medel inte kommer att nyttja då myndigheten för närvarande klarar att hantera pågående rättsprocesser med interna resurser.      </t>
  </si>
  <si>
    <t>Osäkerhet (för överskott) på Af-gemensamma finns dock för kommande perioder. Osäkerheten har sin grund i rådande läge (bl a p g a covid-19) och stabens samtliga planerade insatser kanske inte kommer att genomföras fullt ut eller på det sätt som planerats. Denna osäkerhet bedöms kvarstå under åtminstone första halvåret 2020</t>
  </si>
  <si>
    <t>förseningar i rekryteringar och minskade rese- och utbildningskostnader.</t>
  </si>
  <si>
    <t>Svårighet att rekrytera i den takt som planerat samt flera medarbetare som valt att sluta.</t>
  </si>
  <si>
    <t>Tilldelning</t>
  </si>
  <si>
    <t>UO14 Anslag 1:2 ap1 Aktivitetsstöd</t>
  </si>
  <si>
    <t>Anslagsöverföring från 1:3</t>
  </si>
  <si>
    <t>Central tilldelning</t>
  </si>
  <si>
    <t>UO14 Anslag 1:3 ap1 Program och insatser</t>
  </si>
  <si>
    <t>Anslagsöverföring till 1:2</t>
  </si>
  <si>
    <t>UO14 Anslag 1:4 ap1 Lönebidrag mm</t>
  </si>
  <si>
    <t>Övrig redovisning (OH-kostnader)</t>
  </si>
  <si>
    <t>UO10 Anslag 1:6 Samarbete med Fk</t>
  </si>
  <si>
    <t>Program</t>
  </si>
  <si>
    <t>Övrig redovisning (Försäkringsskydd)</t>
  </si>
  <si>
    <t>Anslag enligt överenskommelse med Fk</t>
  </si>
  <si>
    <t>Totalt</t>
  </si>
  <si>
    <t>Jobb- och utvecklingsgarantin</t>
  </si>
  <si>
    <t>Arbetsmarknadsutbildning</t>
  </si>
  <si>
    <t>Start av näringsverksamhet</t>
  </si>
  <si>
    <t>Projekt</t>
  </si>
  <si>
    <t>1:3 Program och insatser</t>
  </si>
  <si>
    <t>Extratjänster</t>
  </si>
  <si>
    <t>Introduktionsjobb</t>
  </si>
  <si>
    <t>1:4 Lönebidrag</t>
  </si>
  <si>
    <t>Lönebidrag för anställning</t>
  </si>
  <si>
    <t>Lönebidrag för utveckling</t>
  </si>
  <si>
    <t>Lönebidrag för trygghet</t>
  </si>
  <si>
    <t>Personligt biträde</t>
  </si>
  <si>
    <t>Beräknad kostnad i utgiftsprognosen</t>
  </si>
  <si>
    <t>Start av näringsverksamhet (kringkostnad)</t>
  </si>
  <si>
    <t>Programresor utanför garantierna</t>
  </si>
  <si>
    <t>Tolk</t>
  </si>
  <si>
    <t>Utredningskostnader</t>
  </si>
  <si>
    <t>Intervjuresor mm</t>
  </si>
  <si>
    <t>Folkbildningsrådet</t>
  </si>
  <si>
    <t>SIUS (exkl. OH)</t>
  </si>
  <si>
    <t>Arbetshjälpmedel mm</t>
  </si>
  <si>
    <t>1:2 ap1 Aktivitetsstöd</t>
  </si>
  <si>
    <t>Jobbgaranti för ungdomar</t>
  </si>
  <si>
    <t>Kartläggning, vägledning, rehabilitering</t>
  </si>
  <si>
    <t>Matchningstjänster</t>
  </si>
  <si>
    <t>Övriga tjänster</t>
  </si>
  <si>
    <t>UTA som FBI</t>
  </si>
  <si>
    <t>Förberedande utbildning</t>
  </si>
  <si>
    <t>Arbetspraktik</t>
  </si>
  <si>
    <t>Projekt med arbetsmarknadspolitisk inriktning</t>
  </si>
  <si>
    <t>1:3 ap1 Program och insatser</t>
  </si>
  <si>
    <t>1:4 ap1 Lönebidrag</t>
  </si>
  <si>
    <t>Offentligt skyddat arbete (OSA)</t>
  </si>
  <si>
    <t>Inom ramprogram</t>
  </si>
  <si>
    <t>Utanför ramprogram</t>
  </si>
  <si>
    <t>Spec INAB övriga tjänster</t>
  </si>
  <si>
    <t>Samarbete Fk</t>
  </si>
  <si>
    <t>Försäkringsskydd (övrig redovisning)</t>
  </si>
  <si>
    <t>OH-kostnader (Övrig redovisning)</t>
  </si>
  <si>
    <t>Avdelningar</t>
  </si>
  <si>
    <t>Lånemedel</t>
  </si>
  <si>
    <t xml:space="preserve">Ombyggnads-och förbättringskostnader - anpassningar som specas under året </t>
  </si>
  <si>
    <t>Kvarvarande betalning på mindre lokalprojekt som löpt under 2021</t>
  </si>
  <si>
    <t>Kristinehamn lokalanpassning kvarvarande betalning från 2021</t>
  </si>
  <si>
    <t>Mjölby lokalanpassning</t>
  </si>
  <si>
    <t>Borås lokalanpassning</t>
  </si>
  <si>
    <t>Kiruna lokalanpassning</t>
  </si>
  <si>
    <t>Förmånsbilar</t>
  </si>
  <si>
    <t>Datacenter - Ny lagringslösning</t>
  </si>
  <si>
    <t>Datacenter - Netbackup licenser</t>
  </si>
  <si>
    <t>Datacenter - Virtualiseringshårdvara</t>
  </si>
  <si>
    <t>Datacenter - Kommunikation</t>
  </si>
  <si>
    <t>Datacenter - Fysiska servrar</t>
  </si>
  <si>
    <t>Datacenter - Övriga specade HW investeringar</t>
  </si>
  <si>
    <t>Datacenter - Oracle ZFS Storage</t>
  </si>
  <si>
    <t>Immateriell IT utveckling</t>
  </si>
  <si>
    <t xml:space="preserve">UO 14 Anslag 1:1 ap1 Förvaltningsanslaget </t>
  </si>
  <si>
    <t>Ekonomiavdelningen</t>
  </si>
  <si>
    <t>Överdirektör</t>
  </si>
  <si>
    <t xml:space="preserve">Summa enheter och avd. </t>
  </si>
  <si>
    <t>Övrig finans OH SIUS, FK m.m.</t>
  </si>
  <si>
    <t>Summa Övrigt samt avskr.</t>
  </si>
  <si>
    <t>Digitala tjänster</t>
  </si>
  <si>
    <t>IT-bas</t>
  </si>
  <si>
    <t>Digitala arbetsförmedlingsstöd</t>
  </si>
  <si>
    <t>Ledning &amp; Stöd</t>
  </si>
  <si>
    <t>Fördelning i %</t>
  </si>
  <si>
    <t>Anslag</t>
  </si>
  <si>
    <t>Lån</t>
  </si>
  <si>
    <t>Nystartsjobb</t>
  </si>
  <si>
    <t>Yrkesintroduktionsanställningar</t>
  </si>
  <si>
    <t>1:13 Nystartsjobb och yrkesintroduktion</t>
  </si>
  <si>
    <t>Utvecklingsportföljerna 2023</t>
  </si>
  <si>
    <t>Slutlig tilldelning 2023</t>
  </si>
  <si>
    <t>Anslag enligt budgetproposition 2023</t>
  </si>
  <si>
    <t>Förslag fördelning volymer 2023</t>
  </si>
  <si>
    <t>Planerade investeringar på låneram under 2023</t>
  </si>
  <si>
    <t>Ram för IT-utveckling 2023</t>
  </si>
  <si>
    <t>Ej volymplanerade åtgärder 2023</t>
  </si>
  <si>
    <t>Fördelning aktiviteter 2023</t>
  </si>
  <si>
    <t>React- EU</t>
  </si>
  <si>
    <t>Årssnitt</t>
  </si>
  <si>
    <t>Etableringsjobb</t>
  </si>
  <si>
    <t>Källa: Underlag till utgiftsprognosen nov 2022</t>
  </si>
  <si>
    <t xml:space="preserve">Prognos, överföring från 2022 </t>
  </si>
  <si>
    <t>Finansiering 2023 enligt BP</t>
  </si>
  <si>
    <t>Baserat på godkänd prognos UR2</t>
  </si>
  <si>
    <t>Övrigt (Yrkesintroduktonsanställning)</t>
  </si>
  <si>
    <t>Planerade investeringar på låneram under 2022</t>
  </si>
  <si>
    <t>Prognos 1</t>
  </si>
  <si>
    <t>Prognos 2</t>
  </si>
  <si>
    <t>Teknikutrymme</t>
  </si>
  <si>
    <t>Larmanläggningar</t>
  </si>
  <si>
    <t>Utbyte skyltar</t>
  </si>
  <si>
    <t>Lokalprojekt kända planerade</t>
  </si>
  <si>
    <t>Lokalprojekt oplanerade</t>
  </si>
  <si>
    <t xml:space="preserve">Utveckling i portföljerna </t>
  </si>
  <si>
    <t xml:space="preserve">Hårdvaruinvesteringar </t>
  </si>
  <si>
    <t xml:space="preserve">Verktyg för Integrerad verksamhetsstyrning </t>
  </si>
  <si>
    <t>Statatg flytt till moderna plattformar</t>
  </si>
  <si>
    <t xml:space="preserve">Införandet av Data Governance </t>
  </si>
  <si>
    <t>Anslagskredit 2 %</t>
  </si>
  <si>
    <t>VO Lokal arbetsmarknad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</si>
</sst>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quot;Inklusive anslagskredit  &quot;0%"/>
    <numFmt numFmtId="166" formatCode="_-* #,##0\ _k_r_-;\-* #,##0\ _k_r_-;_-* &quot;-&quot;??\ _k_r_-;_-@_-"/>
    <numFmt numFmtId="167" formatCode="#,##0.0"/>
    <numFmt numFmtId="168" formatCode="#,##0,"/>
  </numFmts>
  <fonts count="5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Light"/>
      <family val="2"/>
      <scheme val="major"/>
    </font>
    <font>
      <b/>
      <i/>
      <sz val="18"/>
      <name val="Arial"/>
      <family val="2"/>
    </font>
    <font>
      <sz val="10"/>
      <color theme="1"/>
      <name val="Calibri"/>
      <family val="2"/>
      <scheme val="minor"/>
    </font>
    <font>
      <i/>
      <sz val="11"/>
      <color theme="1"/>
      <name val="Calibri"/>
      <family val="2"/>
      <scheme val="minor"/>
    </font>
    <font>
      <b/>
      <sz val="13"/>
      <color theme="1"/>
      <name val="Calibri"/>
      <family val="2"/>
      <scheme val="minor"/>
    </font>
    <font>
      <b/>
      <sz val="10"/>
      <color theme="1"/>
      <name val="Calibri"/>
      <family val="2"/>
      <scheme val="minor"/>
    </font>
    <font>
      <b/>
      <sz val="14"/>
      <color rgb="FFFF0000"/>
      <name val="Calibri"/>
      <family val="2"/>
      <scheme val="minor"/>
    </font>
    <font>
      <b/>
      <sz val="14"/>
      <color theme="1"/>
      <name val="Calibri"/>
      <family val="2"/>
      <scheme val="minor"/>
    </font>
    <font>
      <sz val="11"/>
      <name val="Calibri"/>
      <family val="2"/>
      <scheme val="minor"/>
    </font>
    <font>
      <sz val="9"/>
      <color rgb="FFFF0000"/>
      <name val="Calibri"/>
      <family val="2"/>
      <scheme val="minor"/>
    </font>
    <font>
      <i/>
      <sz val="9"/>
      <color theme="1"/>
      <name val="Calibri"/>
      <family val="2"/>
      <scheme val="minor"/>
    </font>
    <font>
      <b/>
      <sz val="11"/>
      <color rgb="FF000000"/>
      <name val="Calibri"/>
      <family val="2"/>
    </font>
    <font>
      <sz val="11"/>
      <color rgb="FF000000"/>
      <name val="Calibri"/>
      <family val="2"/>
    </font>
    <font>
      <b/>
      <sz val="11"/>
      <color theme="1"/>
      <name val="Calibri Light"/>
      <family val="2"/>
      <scheme val="major"/>
    </font>
    <font>
      <i/>
      <sz val="11"/>
      <name val="Calibri"/>
      <family val="2"/>
      <scheme val="minor"/>
    </font>
    <font>
      <b/>
      <sz val="12"/>
      <color theme="1"/>
      <name val="Calibri Light"/>
      <family val="2"/>
      <scheme val="major"/>
    </font>
    <font>
      <sz val="10"/>
      <name val="Arial"/>
      <family val="2"/>
    </font>
    <font>
      <sz val="9"/>
      <color rgb="FF353535"/>
      <name val="Segoe UI"/>
      <family val="1"/>
    </font>
    <font>
      <sz val="8"/>
      <color rgb="FF353535"/>
      <name val="Dialog"/>
      <family val="1"/>
    </font>
    <font>
      <sz val="10"/>
      <color rgb="FFFFFFFF"/>
      <name val="Segoe UI Semibold"/>
      <family val="1"/>
    </font>
    <font>
      <b/>
      <sz val="10"/>
      <color rgb="FF353535"/>
      <name val="Segoe UI"/>
      <family val="1"/>
    </font>
    <font>
      <sz val="10"/>
      <color rgb="FF353535"/>
      <name val="Segoe UI"/>
      <family val="1"/>
    </font>
    <font>
      <i/>
      <sz val="10"/>
      <color rgb="FF353535"/>
      <name val="Segoe UI"/>
      <family val="1"/>
    </font>
    <font>
      <sz val="9"/>
      <color indexed="81"/>
      <name val="Tahoma"/>
      <family val="2"/>
    </font>
    <font>
      <b/>
      <sz val="16"/>
      <name val="Calibri"/>
      <family val="2"/>
      <scheme val="minor"/>
    </font>
    <font>
      <b/>
      <sz val="10"/>
      <name val="Calibri"/>
      <family val="2"/>
      <scheme val="minor"/>
    </font>
    <font>
      <sz val="8"/>
      <color theme="1"/>
      <name val="Calibri"/>
      <family val="2"/>
      <scheme val="minor"/>
    </font>
    <font>
      <b/>
      <sz val="14"/>
      <name val="Calibri"/>
      <family val="2"/>
      <scheme val="minor"/>
    </font>
    <font>
      <b/>
      <sz val="11"/>
      <name val="Calibri"/>
      <family val="2"/>
      <scheme val="minor"/>
    </font>
    <font>
      <b/>
      <i/>
      <sz val="16"/>
      <name val="Arial"/>
      <family val="2"/>
    </font>
    <font>
      <b/>
      <sz val="14"/>
      <name val="Arial"/>
      <family val="2"/>
    </font>
    <font>
      <sz val="8"/>
      <color theme="1"/>
      <name val="Arial"/>
      <family val="2"/>
    </font>
    <font>
      <sz val="8"/>
      <color rgb="FF000000"/>
      <name val="Verdana"/>
      <family val="1"/>
    </font>
    <font>
      <sz val="8"/>
      <name val="Arial"/>
      <family val="2"/>
    </font>
    <font>
      <b/>
      <i/>
      <sz val="8"/>
      <name val="Arial"/>
      <family val="2"/>
    </font>
    <font>
      <b/>
      <sz val="8"/>
      <name val="Arial"/>
      <family val="2"/>
    </font>
    <font>
      <b/>
      <sz val="8"/>
      <color theme="1"/>
      <name val="Arial"/>
      <family val="2"/>
    </font>
    <font>
      <i/>
      <sz val="8"/>
      <color theme="1"/>
      <name val="Arial"/>
      <family val="2"/>
    </font>
    <font>
      <b/>
      <i/>
      <sz val="8"/>
      <color theme="1"/>
      <name val="Arial"/>
      <family val="2"/>
    </font>
    <font>
      <b/>
      <i/>
      <sz val="16"/>
      <name val="Calibri Light"/>
      <family val="2"/>
      <scheme val="major"/>
    </font>
    <font>
      <b/>
      <sz val="16"/>
      <name val="Calibri Light"/>
      <family val="2"/>
      <scheme val="major"/>
    </font>
    <font>
      <b/>
      <i/>
      <sz val="11"/>
      <name val="Calibri Light"/>
      <family val="2"/>
      <scheme val="major"/>
    </font>
    <font>
      <b/>
      <sz val="11"/>
      <name val="Calibri Light"/>
      <family val="2"/>
      <scheme val="major"/>
    </font>
    <font>
      <i/>
      <sz val="11"/>
      <name val="Calibri Light"/>
      <family val="2"/>
      <scheme val="major"/>
    </font>
    <font>
      <b/>
      <sz val="16"/>
      <color rgb="FF000000"/>
      <name val="Calibri Light"/>
      <family val="2"/>
      <scheme val="major"/>
    </font>
    <font>
      <b/>
      <sz val="12"/>
      <color rgb="FF000000"/>
      <name val="Calibri Light"/>
      <family val="2"/>
      <scheme val="major"/>
    </font>
    <font>
      <b/>
      <sz val="16"/>
      <color rgb="FF000000"/>
      <name val="Calibri"/>
      <family val="2"/>
      <scheme val="minor"/>
    </font>
    <font>
      <b/>
      <sz val="12"/>
      <color rgb="FF000000"/>
      <name val="Calibri"/>
      <family val="2"/>
      <scheme val="minor"/>
    </font>
    <font>
      <b/>
      <i/>
      <sz val="16"/>
      <name val="Calibri"/>
      <family val="2"/>
      <scheme val="minor"/>
    </font>
    <font>
      <b/>
      <i/>
      <sz val="14"/>
      <name val="Arial"/>
      <family val="2"/>
    </font>
  </fonts>
  <fills count="12">
    <fill>
      <patternFill patternType="none"/>
    </fill>
    <fill>
      <patternFill patternType="gray125"/>
    </fill>
    <fill>
      <patternFill patternType="solid">
        <fgColor theme="4"/>
      </patternFill>
    </fill>
    <fill>
      <patternFill patternType="solid">
        <fgColor theme="4" tint="0.59999389629810485"/>
        <bgColor indexed="64"/>
      </patternFill>
    </fill>
    <fill>
      <patternFill patternType="solid">
        <fgColor rgb="FFBDD7EE"/>
        <bgColor rgb="FF000000"/>
      </patternFill>
    </fill>
    <fill>
      <patternFill patternType="solid">
        <fgColor theme="2"/>
        <bgColor indexed="64"/>
      </patternFill>
    </fill>
    <fill>
      <patternFill patternType="solid">
        <fgColor rgb="FFFFFF00"/>
        <bgColor indexed="64"/>
      </patternFill>
    </fill>
    <fill>
      <patternFill patternType="solid">
        <fgColor rgb="FF00005A"/>
      </patternFill>
    </fill>
    <fill>
      <patternFill patternType="solid">
        <fgColor rgb="FFC8E5AB"/>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CCCCCC"/>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diagonal/>
    </border>
    <border>
      <left style="thin">
        <color theme="0" tint="-0.24994659260841701"/>
      </left>
      <right/>
      <top style="thin">
        <color indexed="64"/>
      </top>
      <bottom/>
      <diagonal/>
    </border>
    <border>
      <left/>
      <right style="thin">
        <color theme="0" tint="-0.24994659260841701"/>
      </right>
      <top/>
      <bottom style="thin">
        <color indexed="64"/>
      </bottom>
      <diagonal/>
    </border>
    <border>
      <left/>
      <right style="thin">
        <color theme="0" tint="-0.24994659260841701"/>
      </right>
      <top style="thin">
        <color indexed="64"/>
      </top>
      <bottom style="thin">
        <color theme="0" tint="-0.249977111117893"/>
      </bottom>
      <diagonal/>
    </border>
    <border>
      <left style="thin">
        <color theme="0" tint="-0.24994659260841701"/>
      </left>
      <right/>
      <top style="thin">
        <color indexed="64"/>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14">
    <xf numFmtId="0" fontId="0" fillId="0" borderId="0"/>
    <xf numFmtId="164" fontId="1" fillId="0" borderId="0" applyFont="0" applyFill="0" applyBorder="0" applyAlignment="0" applyProtection="0"/>
    <xf numFmtId="0" fontId="5" fillId="0" borderId="0"/>
    <xf numFmtId="0" fontId="4" fillId="2" borderId="0" applyNumberFormat="0" applyBorder="0" applyAlignment="0" applyProtection="0"/>
    <xf numFmtId="164" fontId="17" fillId="0" borderId="0" applyFont="0" applyFill="0" applyBorder="0" applyAlignment="0" applyProtection="0"/>
    <xf numFmtId="0" fontId="21" fillId="0" borderId="0"/>
    <xf numFmtId="164" fontId="21" fillId="0" borderId="0" applyFont="0" applyFill="0" applyBorder="0" applyAlignment="0" applyProtection="0"/>
    <xf numFmtId="0" fontId="1" fillId="0" borderId="0"/>
    <xf numFmtId="0" fontId="5" fillId="0" borderId="0"/>
    <xf numFmtId="0" fontId="5" fillId="0" borderId="0"/>
    <xf numFmtId="0" fontId="37" fillId="0" borderId="0"/>
    <xf numFmtId="0" fontId="1" fillId="0" borderId="0"/>
    <xf numFmtId="164" fontId="17" fillId="0" borderId="0" applyFont="0" applyFill="0" applyBorder="0" applyAlignment="0" applyProtection="0"/>
    <xf numFmtId="9" fontId="1" fillId="0" borderId="0" applyFont="0" applyFill="0" applyBorder="0" applyAlignment="0" applyProtection="0"/>
  </cellStyleXfs>
  <cellXfs count="242">
    <xf numFmtId="0" fontId="0" fillId="0" borderId="0" xfId="0"/>
    <xf numFmtId="0" fontId="6" fillId="0" borderId="0" xfId="2" applyFont="1" applyAlignment="1">
      <alignment vertical="center"/>
    </xf>
    <xf numFmtId="3" fontId="2" fillId="0" borderId="0" xfId="0" applyNumberFormat="1" applyFont="1"/>
    <xf numFmtId="0" fontId="5" fillId="0" borderId="0" xfId="2"/>
    <xf numFmtId="14" fontId="7" fillId="0" borderId="0" xfId="0" applyNumberFormat="1" applyFont="1" applyAlignment="1">
      <alignment horizontal="left"/>
    </xf>
    <xf numFmtId="0" fontId="8" fillId="0" borderId="0" xfId="0" applyFont="1" applyAlignment="1">
      <alignment horizontal="center"/>
    </xf>
    <xf numFmtId="0" fontId="9" fillId="3" borderId="1" xfId="0" applyFont="1" applyFill="1" applyBorder="1" applyAlignment="1">
      <alignment vertical="center"/>
    </xf>
    <xf numFmtId="0" fontId="10" fillId="3" borderId="1" xfId="0" applyFont="1" applyFill="1" applyBorder="1" applyAlignment="1">
      <alignment horizontal="center" vertical="center" wrapText="1"/>
    </xf>
    <xf numFmtId="3" fontId="11" fillId="0" borderId="0" xfId="0" applyNumberFormat="1" applyFont="1"/>
    <xf numFmtId="0" fontId="12" fillId="0" borderId="0" xfId="0" applyFont="1"/>
    <xf numFmtId="0" fontId="0" fillId="0" borderId="1" xfId="0" applyBorder="1"/>
    <xf numFmtId="3" fontId="1" fillId="0" borderId="1" xfId="1" applyNumberFormat="1" applyBorder="1" applyAlignment="1">
      <alignment horizontal="right"/>
    </xf>
    <xf numFmtId="3" fontId="13" fillId="0" borderId="1" xfId="1" applyNumberFormat="1" applyFont="1" applyBorder="1" applyAlignment="1">
      <alignment horizontal="right"/>
    </xf>
    <xf numFmtId="3" fontId="2" fillId="0" borderId="1" xfId="1" applyNumberFormat="1" applyFont="1" applyBorder="1" applyAlignment="1">
      <alignment horizontal="right"/>
    </xf>
    <xf numFmtId="165" fontId="0" fillId="0" borderId="1" xfId="0" applyNumberFormat="1" applyBorder="1" applyAlignment="1">
      <alignment horizontal="left"/>
    </xf>
    <xf numFmtId="0" fontId="3" fillId="3" borderId="2" xfId="0" applyFont="1" applyFill="1" applyBorder="1"/>
    <xf numFmtId="3" fontId="3" fillId="3" borderId="1" xfId="1" applyNumberFormat="1" applyFont="1" applyFill="1" applyBorder="1" applyAlignment="1">
      <alignment horizontal="right"/>
    </xf>
    <xf numFmtId="166" fontId="0" fillId="0" borderId="0" xfId="1" applyNumberFormat="1" applyFont="1"/>
    <xf numFmtId="0" fontId="3" fillId="3" borderId="1" xfId="0" applyFont="1" applyFill="1" applyBorder="1"/>
    <xf numFmtId="3" fontId="0" fillId="0" borderId="0" xfId="0" applyNumberFormat="1"/>
    <xf numFmtId="0" fontId="3" fillId="3" borderId="1" xfId="0" applyFont="1" applyFill="1" applyBorder="1" applyAlignment="1">
      <alignment horizontal="right"/>
    </xf>
    <xf numFmtId="3" fontId="14" fillId="0" borderId="0" xfId="0" applyNumberFormat="1" applyFont="1"/>
    <xf numFmtId="0" fontId="1" fillId="0" borderId="1" xfId="2" applyFont="1" applyBorder="1"/>
    <xf numFmtId="0" fontId="15" fillId="0" borderId="0" xfId="0" applyFont="1"/>
    <xf numFmtId="0" fontId="3" fillId="3" borderId="1" xfId="0" applyFont="1" applyFill="1" applyBorder="1" applyAlignment="1">
      <alignment horizontal="left"/>
    </xf>
    <xf numFmtId="3" fontId="0" fillId="0" borderId="1" xfId="0" applyNumberFormat="1" applyBorder="1"/>
    <xf numFmtId="3" fontId="13" fillId="0" borderId="1" xfId="0" applyNumberFormat="1" applyFont="1" applyBorder="1"/>
    <xf numFmtId="0" fontId="16" fillId="4" borderId="1" xfId="0" applyFont="1" applyFill="1" applyBorder="1" applyAlignment="1">
      <alignment horizontal="left" vertical="center"/>
    </xf>
    <xf numFmtId="3" fontId="16" fillId="4" borderId="1" xfId="4" applyNumberFormat="1" applyFont="1" applyFill="1" applyBorder="1" applyAlignment="1">
      <alignment horizontal="right" vertical="center"/>
    </xf>
    <xf numFmtId="1" fontId="5" fillId="0" borderId="0" xfId="2" applyNumberFormat="1"/>
    <xf numFmtId="3" fontId="13" fillId="0" borderId="1" xfId="1" applyNumberFormat="1" applyFont="1" applyBorder="1" applyAlignment="1">
      <alignment horizontal="left"/>
    </xf>
    <xf numFmtId="3" fontId="0" fillId="0" borderId="1" xfId="1" applyNumberFormat="1" applyFont="1" applyBorder="1" applyAlignment="1">
      <alignment horizontal="left"/>
    </xf>
    <xf numFmtId="3" fontId="1" fillId="0" borderId="1" xfId="1" applyNumberFormat="1" applyBorder="1" applyAlignment="1">
      <alignment horizontal="left"/>
    </xf>
    <xf numFmtId="3" fontId="3" fillId="3" borderId="1" xfId="1" applyNumberFormat="1" applyFont="1" applyFill="1" applyBorder="1" applyAlignment="1">
      <alignment horizontal="left"/>
    </xf>
    <xf numFmtId="166" fontId="0" fillId="0" borderId="0" xfId="1" applyNumberFormat="1" applyFont="1" applyAlignment="1">
      <alignment horizontal="left"/>
    </xf>
    <xf numFmtId="0" fontId="10" fillId="3" borderId="1" xfId="0" applyFont="1" applyFill="1" applyBorder="1" applyAlignment="1">
      <alignment horizontal="left" vertical="center" wrapText="1"/>
    </xf>
    <xf numFmtId="3" fontId="13" fillId="0" borderId="1" xfId="0" applyNumberFormat="1" applyFont="1" applyBorder="1" applyAlignment="1">
      <alignment horizontal="left"/>
    </xf>
    <xf numFmtId="3" fontId="16" fillId="4" borderId="1" xfId="4" applyNumberFormat="1" applyFont="1" applyFill="1" applyBorder="1" applyAlignment="1">
      <alignment horizontal="left" vertical="center"/>
    </xf>
    <xf numFmtId="3" fontId="1" fillId="0" borderId="1" xfId="1" applyNumberFormat="1" applyFont="1" applyBorder="1" applyAlignment="1">
      <alignment horizontal="left"/>
    </xf>
    <xf numFmtId="3" fontId="1" fillId="0" borderId="1" xfId="1" applyNumberFormat="1" applyFill="1" applyBorder="1" applyAlignment="1">
      <alignment horizontal="right"/>
    </xf>
    <xf numFmtId="3" fontId="19" fillId="0" borderId="1" xfId="1" applyNumberFormat="1" applyFont="1" applyBorder="1" applyAlignment="1">
      <alignment horizontal="left"/>
    </xf>
    <xf numFmtId="0" fontId="20" fillId="5" borderId="1" xfId="2" applyFont="1" applyFill="1" applyBorder="1" applyAlignment="1">
      <alignment horizontal="center"/>
    </xf>
    <xf numFmtId="0" fontId="18" fillId="0" borderId="0" xfId="2" applyFont="1"/>
    <xf numFmtId="3" fontId="18" fillId="0" borderId="0" xfId="2" applyNumberFormat="1" applyFont="1" applyFill="1"/>
    <xf numFmtId="0" fontId="1" fillId="0" borderId="0" xfId="2" applyFont="1" applyFill="1"/>
    <xf numFmtId="0" fontId="5" fillId="0" borderId="0" xfId="2" applyFill="1"/>
    <xf numFmtId="3" fontId="1" fillId="6" borderId="1" xfId="1" applyNumberFormat="1" applyFill="1" applyBorder="1" applyAlignment="1">
      <alignment horizontal="right"/>
    </xf>
    <xf numFmtId="0" fontId="0" fillId="0" borderId="0" xfId="0" applyNumberFormat="1" applyFont="1" applyFill="1" applyAlignment="1"/>
    <xf numFmtId="0" fontId="23" fillId="0" borderId="0" xfId="0" applyNumberFormat="1" applyFont="1" applyFill="1" applyAlignment="1">
      <alignment horizontal="left" vertical="center" wrapText="1"/>
    </xf>
    <xf numFmtId="0" fontId="24" fillId="7" borderId="0" xfId="0" applyNumberFormat="1" applyFont="1" applyFill="1" applyAlignment="1">
      <alignment horizontal="center" vertical="center" wrapText="1"/>
    </xf>
    <xf numFmtId="0" fontId="25" fillId="8" borderId="0" xfId="0" applyNumberFormat="1" applyFont="1" applyFill="1" applyAlignment="1">
      <alignment horizontal="left" vertical="center" wrapText="1"/>
    </xf>
    <xf numFmtId="167" fontId="25" fillId="8" borderId="0" xfId="0" applyNumberFormat="1" applyFont="1" applyFill="1" applyAlignment="1">
      <alignment horizontal="right" vertical="center" wrapText="1"/>
    </xf>
    <xf numFmtId="0" fontId="26" fillId="0" borderId="0" xfId="0" applyNumberFormat="1" applyFont="1" applyFill="1" applyAlignment="1">
      <alignment horizontal="left" vertical="center" wrapText="1"/>
    </xf>
    <xf numFmtId="167" fontId="26" fillId="0" borderId="0" xfId="0" applyNumberFormat="1" applyFont="1" applyFill="1" applyAlignment="1">
      <alignment horizontal="right" vertical="center" wrapText="1"/>
    </xf>
    <xf numFmtId="0" fontId="22" fillId="0" borderId="0" xfId="0" applyNumberFormat="1" applyFont="1" applyFill="1" applyAlignment="1">
      <alignment horizontal="left" vertical="center" wrapText="1"/>
    </xf>
    <xf numFmtId="167" fontId="22" fillId="0" borderId="0" xfId="0" applyNumberFormat="1" applyFont="1" applyFill="1" applyAlignment="1">
      <alignment horizontal="right" vertical="center" wrapText="1"/>
    </xf>
    <xf numFmtId="0" fontId="27" fillId="0" borderId="3" xfId="0" applyNumberFormat="1" applyFont="1" applyFill="1" applyBorder="1" applyAlignment="1">
      <alignment horizontal="left" vertical="center" wrapText="1"/>
    </xf>
    <xf numFmtId="167" fontId="27" fillId="0" borderId="3" xfId="0" applyNumberFormat="1" applyFont="1" applyFill="1" applyBorder="1" applyAlignment="1">
      <alignment horizontal="right" vertical="center" wrapText="1"/>
    </xf>
    <xf numFmtId="0" fontId="27" fillId="0" borderId="0" xfId="0" applyNumberFormat="1" applyFont="1" applyFill="1" applyAlignment="1">
      <alignment horizontal="left" vertical="center" wrapText="1"/>
    </xf>
    <xf numFmtId="167" fontId="27" fillId="0" borderId="0" xfId="0" applyNumberFormat="1" applyFont="1" applyFill="1" applyAlignment="1">
      <alignment horizontal="right" vertical="center" wrapText="1"/>
    </xf>
    <xf numFmtId="167" fontId="22" fillId="0" borderId="0" xfId="0" applyNumberFormat="1" applyFont="1" applyFill="1" applyAlignment="1">
      <alignment horizontal="left" vertical="center" wrapText="1"/>
    </xf>
    <xf numFmtId="3" fontId="5" fillId="0" borderId="0" xfId="2" applyNumberFormat="1"/>
    <xf numFmtId="0" fontId="10" fillId="3" borderId="0" xfId="0" applyFont="1" applyFill="1" applyBorder="1" applyAlignment="1">
      <alignment horizontal="center" vertical="center" wrapText="1"/>
    </xf>
    <xf numFmtId="3" fontId="1" fillId="0" borderId="0" xfId="1" applyNumberFormat="1" applyBorder="1" applyAlignment="1">
      <alignment horizontal="right"/>
    </xf>
    <xf numFmtId="3" fontId="2" fillId="0" borderId="0" xfId="1" applyNumberFormat="1" applyFont="1" applyBorder="1" applyAlignment="1">
      <alignment horizontal="right"/>
    </xf>
    <xf numFmtId="3" fontId="3" fillId="3" borderId="0" xfId="1" applyNumberFormat="1" applyFont="1" applyFill="1" applyBorder="1" applyAlignment="1">
      <alignment horizontal="right"/>
    </xf>
    <xf numFmtId="3" fontId="1" fillId="0" borderId="0" xfId="1" applyNumberFormat="1" applyFill="1" applyBorder="1" applyAlignment="1">
      <alignment horizontal="right"/>
    </xf>
    <xf numFmtId="3" fontId="13" fillId="0" borderId="0" xfId="0" applyNumberFormat="1" applyFont="1" applyBorder="1"/>
    <xf numFmtId="0" fontId="10" fillId="6" borderId="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29" fillId="3" borderId="0" xfId="3" applyFont="1" applyFill="1"/>
    <xf numFmtId="0" fontId="33" fillId="3" borderId="0" xfId="3" applyFont="1" applyFill="1"/>
    <xf numFmtId="0" fontId="0" fillId="9" borderId="0" xfId="0" applyFill="1"/>
    <xf numFmtId="0" fontId="0" fillId="9" borderId="0" xfId="0" applyFill="1" applyAlignment="1">
      <alignment vertical="center"/>
    </xf>
    <xf numFmtId="0" fontId="3" fillId="9" borderId="0" xfId="0" applyFont="1" applyFill="1" applyAlignment="1">
      <alignment vertical="center"/>
    </xf>
    <xf numFmtId="3" fontId="3" fillId="9" borderId="0" xfId="6" applyNumberFormat="1" applyFont="1" applyFill="1" applyAlignment="1">
      <alignment horizontal="right" vertical="center"/>
    </xf>
    <xf numFmtId="0" fontId="3" fillId="3" borderId="0" xfId="0" applyFont="1" applyFill="1"/>
    <xf numFmtId="0" fontId="35" fillId="0" borderId="0" xfId="5" applyFont="1"/>
    <xf numFmtId="0" fontId="36" fillId="0" borderId="0" xfId="9" applyFont="1" applyAlignment="1">
      <alignment horizontal="right"/>
    </xf>
    <xf numFmtId="0" fontId="36" fillId="0" borderId="0" xfId="9" applyFont="1"/>
    <xf numFmtId="0" fontId="37" fillId="0" borderId="0" xfId="10"/>
    <xf numFmtId="0" fontId="39" fillId="0" borderId="0" xfId="5" applyFont="1"/>
    <xf numFmtId="0" fontId="38" fillId="0" borderId="0" xfId="5" applyFont="1"/>
    <xf numFmtId="0" fontId="41" fillId="0" borderId="0" xfId="9" applyFont="1"/>
    <xf numFmtId="0" fontId="42" fillId="0" borderId="0" xfId="9" applyFont="1" applyAlignment="1">
      <alignment horizontal="left" indent="1"/>
    </xf>
    <xf numFmtId="0" fontId="43" fillId="0" borderId="0" xfId="9" applyFont="1"/>
    <xf numFmtId="3" fontId="40" fillId="0" borderId="0" xfId="5" applyNumberFormat="1" applyFont="1"/>
    <xf numFmtId="3" fontId="39" fillId="0" borderId="0" xfId="5" applyNumberFormat="1" applyFont="1"/>
    <xf numFmtId="3" fontId="38" fillId="0" borderId="0" xfId="5" applyNumberFormat="1" applyFont="1"/>
    <xf numFmtId="0" fontId="42" fillId="0" borderId="0" xfId="9" applyFont="1" applyAlignment="1">
      <alignment horizontal="right"/>
    </xf>
    <xf numFmtId="0" fontId="42" fillId="0" borderId="0" xfId="9" applyFont="1"/>
    <xf numFmtId="0" fontId="6" fillId="9" borderId="0" xfId="5" applyFont="1" applyFill="1" applyAlignment="1">
      <alignment vertical="center"/>
    </xf>
    <xf numFmtId="14" fontId="7" fillId="9" borderId="0" xfId="0" applyNumberFormat="1" applyFont="1" applyFill="1" applyAlignment="1">
      <alignment horizontal="left"/>
    </xf>
    <xf numFmtId="0" fontId="31" fillId="9" borderId="0" xfId="0" applyFont="1" applyFill="1"/>
    <xf numFmtId="0" fontId="32" fillId="9" borderId="0" xfId="0" applyFont="1" applyFill="1"/>
    <xf numFmtId="0" fontId="8" fillId="9" borderId="0" xfId="0" applyFont="1" applyFill="1" applyAlignment="1">
      <alignment horizontal="center"/>
    </xf>
    <xf numFmtId="0" fontId="13" fillId="9" borderId="0" xfId="3" applyFont="1" applyFill="1" applyAlignment="1">
      <alignment vertical="center"/>
    </xf>
    <xf numFmtId="3" fontId="13" fillId="9" borderId="0" xfId="3" applyNumberFormat="1" applyFont="1" applyFill="1" applyAlignment="1">
      <alignment horizontal="right" vertical="center"/>
    </xf>
    <xf numFmtId="168" fontId="31" fillId="9" borderId="0" xfId="0" applyNumberFormat="1" applyFont="1" applyFill="1" applyAlignment="1">
      <alignment vertical="center"/>
    </xf>
    <xf numFmtId="3" fontId="31" fillId="9" borderId="0" xfId="0" applyNumberFormat="1" applyFont="1" applyFill="1" applyAlignment="1">
      <alignment vertical="center"/>
    </xf>
    <xf numFmtId="0" fontId="31" fillId="9" borderId="0" xfId="0" applyFont="1" applyFill="1" applyAlignment="1">
      <alignment vertical="center"/>
    </xf>
    <xf numFmtId="0" fontId="13" fillId="5" borderId="4" xfId="3" applyFont="1" applyFill="1" applyBorder="1" applyAlignment="1">
      <alignment vertical="center"/>
    </xf>
    <xf numFmtId="0" fontId="30" fillId="5" borderId="5" xfId="3" applyFont="1" applyFill="1" applyBorder="1" applyAlignment="1">
      <alignment horizontal="center" vertical="center" wrapText="1"/>
    </xf>
    <xf numFmtId="0" fontId="0" fillId="9" borderId="6" xfId="0" applyFill="1" applyBorder="1" applyAlignment="1">
      <alignment vertical="center"/>
    </xf>
    <xf numFmtId="3" fontId="13" fillId="9" borderId="7" xfId="6" applyNumberFormat="1" applyFont="1" applyFill="1" applyBorder="1" applyAlignment="1">
      <alignment horizontal="right" vertical="center"/>
    </xf>
    <xf numFmtId="0" fontId="13" fillId="9" borderId="6" xfId="0" applyFont="1" applyFill="1" applyBorder="1" applyAlignment="1">
      <alignment vertical="center"/>
    </xf>
    <xf numFmtId="3" fontId="13" fillId="9" borderId="7" xfId="0" applyNumberFormat="1" applyFont="1" applyFill="1" applyBorder="1" applyAlignment="1">
      <alignment vertical="center"/>
    </xf>
    <xf numFmtId="0" fontId="33" fillId="5" borderId="8" xfId="3" applyFont="1" applyFill="1" applyBorder="1" applyAlignment="1">
      <alignment vertical="center"/>
    </xf>
    <xf numFmtId="3" fontId="33" fillId="5" borderId="9" xfId="3" applyNumberFormat="1" applyFont="1" applyFill="1" applyBorder="1" applyAlignment="1">
      <alignment horizontal="right" vertical="center"/>
    </xf>
    <xf numFmtId="0" fontId="13" fillId="9" borderId="10" xfId="3" applyFont="1" applyFill="1" applyBorder="1" applyAlignment="1">
      <alignment vertical="center" wrapText="1"/>
    </xf>
    <xf numFmtId="0" fontId="30" fillId="9" borderId="5" xfId="3" applyFont="1" applyFill="1" applyBorder="1" applyAlignment="1">
      <alignment horizontal="center" vertical="center" wrapText="1"/>
    </xf>
    <xf numFmtId="0" fontId="33" fillId="5" borderId="11" xfId="3" applyFont="1" applyFill="1" applyBorder="1" applyAlignment="1">
      <alignment vertical="center"/>
    </xf>
    <xf numFmtId="3" fontId="33" fillId="5" borderId="12" xfId="3" applyNumberFormat="1" applyFont="1" applyFill="1" applyBorder="1" applyAlignment="1">
      <alignment horizontal="right" vertical="center"/>
    </xf>
    <xf numFmtId="0" fontId="33" fillId="9" borderId="0" xfId="3" applyFont="1" applyFill="1"/>
    <xf numFmtId="3" fontId="13" fillId="9" borderId="0" xfId="6" applyNumberFormat="1" applyFont="1" applyFill="1" applyAlignment="1">
      <alignment horizontal="right" vertical="center"/>
    </xf>
    <xf numFmtId="0" fontId="33" fillId="9" borderId="0" xfId="3" applyFont="1" applyFill="1" applyAlignment="1">
      <alignment vertical="center"/>
    </xf>
    <xf numFmtId="3" fontId="33" fillId="9" borderId="0" xfId="3" applyNumberFormat="1" applyFont="1" applyFill="1" applyAlignment="1">
      <alignment horizontal="right" vertical="center"/>
    </xf>
    <xf numFmtId="0" fontId="13" fillId="9" borderId="0" xfId="0" applyFont="1" applyFill="1" applyAlignment="1">
      <alignment vertical="center"/>
    </xf>
    <xf numFmtId="0" fontId="13" fillId="5" borderId="10" xfId="3" applyFont="1" applyFill="1" applyBorder="1" applyAlignment="1">
      <alignment vertical="center" wrapText="1"/>
    </xf>
    <xf numFmtId="0" fontId="33" fillId="9" borderId="11" xfId="3" applyFont="1" applyFill="1" applyBorder="1" applyAlignment="1">
      <alignment vertical="center"/>
    </xf>
    <xf numFmtId="3" fontId="33" fillId="9" borderId="12" xfId="3" applyNumberFormat="1" applyFont="1" applyFill="1" applyBorder="1" applyAlignment="1">
      <alignment horizontal="right" vertical="center"/>
    </xf>
    <xf numFmtId="0" fontId="13" fillId="5" borderId="13" xfId="3" applyFont="1" applyFill="1" applyBorder="1" applyAlignment="1">
      <alignment vertical="center" wrapText="1"/>
    </xf>
    <xf numFmtId="3" fontId="30" fillId="5" borderId="14" xfId="3" applyNumberFormat="1" applyFont="1" applyFill="1" applyBorder="1" applyAlignment="1">
      <alignment horizontal="right" vertical="center" wrapText="1"/>
    </xf>
    <xf numFmtId="0" fontId="19" fillId="9" borderId="0" xfId="0" applyFont="1" applyFill="1" applyAlignment="1">
      <alignment horizontal="center"/>
    </xf>
    <xf numFmtId="0" fontId="12" fillId="9" borderId="0" xfId="0" applyFont="1" applyFill="1" applyAlignment="1">
      <alignment vertical="center"/>
    </xf>
    <xf numFmtId="0" fontId="0" fillId="9" borderId="0" xfId="0" applyFill="1" applyAlignment="1">
      <alignment vertical="center" wrapText="1"/>
    </xf>
    <xf numFmtId="3" fontId="0" fillId="9" borderId="0" xfId="0" applyNumberFormat="1" applyFill="1" applyAlignment="1">
      <alignment vertical="center" wrapText="1"/>
    </xf>
    <xf numFmtId="3" fontId="0" fillId="9" borderId="0" xfId="0" applyNumberFormat="1" applyFill="1" applyAlignment="1">
      <alignment vertical="center"/>
    </xf>
    <xf numFmtId="0" fontId="33" fillId="9" borderId="0" xfId="3" applyFont="1" applyFill="1" applyBorder="1" applyAlignment="1">
      <alignment vertical="center"/>
    </xf>
    <xf numFmtId="3" fontId="33" fillId="9" borderId="0" xfId="3" applyNumberFormat="1" applyFont="1" applyFill="1" applyBorder="1" applyAlignment="1">
      <alignment horizontal="right" vertical="center"/>
    </xf>
    <xf numFmtId="0" fontId="34" fillId="9" borderId="0" xfId="5" applyFont="1" applyFill="1" applyAlignment="1">
      <alignment vertical="center"/>
    </xf>
    <xf numFmtId="0" fontId="0" fillId="9" borderId="0" xfId="0" applyFill="1" applyAlignment="1">
      <alignment horizontal="center" vertical="center" wrapText="1"/>
    </xf>
    <xf numFmtId="0" fontId="13" fillId="5" borderId="15" xfId="3" applyFont="1" applyFill="1" applyBorder="1" applyAlignment="1">
      <alignment vertical="center"/>
    </xf>
    <xf numFmtId="0" fontId="30" fillId="5" borderId="16" xfId="3" applyFont="1" applyFill="1" applyBorder="1" applyAlignment="1">
      <alignment horizontal="center" vertical="center" wrapText="1"/>
    </xf>
    <xf numFmtId="0" fontId="0" fillId="9" borderId="15" xfId="0" applyFill="1" applyBorder="1" applyAlignment="1">
      <alignment vertical="center"/>
    </xf>
    <xf numFmtId="3" fontId="13" fillId="9" borderId="16" xfId="6" applyNumberFormat="1" applyFont="1" applyFill="1" applyBorder="1" applyAlignment="1">
      <alignment horizontal="right" vertical="center"/>
    </xf>
    <xf numFmtId="0" fontId="13" fillId="9" borderId="15" xfId="0" applyFont="1" applyFill="1" applyBorder="1" applyAlignment="1">
      <alignment vertical="center"/>
    </xf>
    <xf numFmtId="3" fontId="13" fillId="9" borderId="16" xfId="0" applyNumberFormat="1" applyFont="1" applyFill="1" applyBorder="1" applyAlignment="1">
      <alignment vertical="center"/>
    </xf>
    <xf numFmtId="0" fontId="33" fillId="5" borderId="15" xfId="0" applyFont="1" applyFill="1" applyBorder="1" applyAlignment="1">
      <alignment vertical="center"/>
    </xf>
    <xf numFmtId="3" fontId="33" fillId="5" borderId="16" xfId="0" applyNumberFormat="1" applyFont="1" applyFill="1" applyBorder="1" applyAlignment="1">
      <alignment vertical="center"/>
    </xf>
    <xf numFmtId="0" fontId="33" fillId="9" borderId="15" xfId="3" applyFont="1" applyFill="1" applyBorder="1" applyAlignment="1">
      <alignment vertical="center"/>
    </xf>
    <xf numFmtId="3" fontId="33" fillId="9" borderId="16" xfId="3" applyNumberFormat="1" applyFont="1" applyFill="1" applyBorder="1" applyAlignment="1">
      <alignment horizontal="right" vertical="center"/>
    </xf>
    <xf numFmtId="0" fontId="13" fillId="5" borderId="15" xfId="3" applyFont="1" applyFill="1" applyBorder="1" applyAlignment="1">
      <alignment vertical="center" wrapText="1"/>
    </xf>
    <xf numFmtId="0" fontId="13" fillId="9" borderId="15" xfId="3" applyFont="1" applyFill="1" applyBorder="1" applyAlignment="1">
      <alignment vertical="center"/>
    </xf>
    <xf numFmtId="3" fontId="13" fillId="9" borderId="16" xfId="3" applyNumberFormat="1" applyFont="1" applyFill="1" applyBorder="1" applyAlignment="1">
      <alignment horizontal="right" vertical="center"/>
    </xf>
    <xf numFmtId="0" fontId="33" fillId="5" borderId="17" xfId="3" applyFont="1" applyFill="1" applyBorder="1" applyAlignment="1">
      <alignment vertical="center" wrapText="1"/>
    </xf>
    <xf numFmtId="3" fontId="30" fillId="5" borderId="18" xfId="3" applyNumberFormat="1" applyFont="1" applyFill="1" applyBorder="1" applyAlignment="1">
      <alignment horizontal="right" vertical="center" wrapText="1"/>
    </xf>
    <xf numFmtId="0" fontId="3" fillId="9" borderId="0" xfId="0" applyFont="1" applyFill="1" applyBorder="1" applyAlignment="1">
      <alignment vertical="center"/>
    </xf>
    <xf numFmtId="3" fontId="3" fillId="9" borderId="0" xfId="6" applyNumberFormat="1" applyFont="1" applyFill="1" applyBorder="1" applyAlignment="1">
      <alignment horizontal="right" vertical="center"/>
    </xf>
    <xf numFmtId="0" fontId="3" fillId="5" borderId="19" xfId="0" applyFont="1" applyFill="1" applyBorder="1" applyAlignment="1">
      <alignment vertical="center" wrapText="1"/>
    </xf>
    <xf numFmtId="0" fontId="33" fillId="5" borderId="20" xfId="3" applyFont="1" applyFill="1" applyBorder="1" applyAlignment="1">
      <alignment horizontal="center" vertical="center" wrapText="1"/>
    </xf>
    <xf numFmtId="0" fontId="0" fillId="9" borderId="19" xfId="0" applyFill="1" applyBorder="1" applyAlignment="1">
      <alignment vertical="center"/>
    </xf>
    <xf numFmtId="3" fontId="13" fillId="9" borderId="20" xfId="6" applyNumberFormat="1" applyFont="1" applyFill="1" applyBorder="1" applyAlignment="1">
      <alignment horizontal="right" vertical="center"/>
    </xf>
    <xf numFmtId="0" fontId="33" fillId="9" borderId="19" xfId="3" applyFont="1" applyFill="1" applyBorder="1" applyAlignment="1">
      <alignment vertical="center"/>
    </xf>
    <xf numFmtId="3" fontId="33" fillId="9" borderId="20" xfId="3" applyNumberFormat="1" applyFont="1" applyFill="1" applyBorder="1" applyAlignment="1">
      <alignment horizontal="right" vertical="center"/>
    </xf>
    <xf numFmtId="0" fontId="3" fillId="9" borderId="19" xfId="0" applyFont="1" applyFill="1" applyBorder="1" applyAlignment="1">
      <alignment vertical="center" wrapText="1"/>
    </xf>
    <xf numFmtId="0" fontId="33" fillId="9" borderId="20" xfId="3" applyFont="1" applyFill="1" applyBorder="1" applyAlignment="1">
      <alignment horizontal="center" vertical="center" wrapText="1"/>
    </xf>
    <xf numFmtId="0" fontId="13" fillId="9" borderId="19" xfId="0" applyFont="1" applyFill="1" applyBorder="1" applyAlignment="1">
      <alignment vertical="center"/>
    </xf>
    <xf numFmtId="3" fontId="13" fillId="9" borderId="20" xfId="0" applyNumberFormat="1" applyFont="1" applyFill="1" applyBorder="1" applyAlignment="1">
      <alignment vertical="center"/>
    </xf>
    <xf numFmtId="0" fontId="33" fillId="5" borderId="19" xfId="0" applyFont="1" applyFill="1" applyBorder="1" applyAlignment="1">
      <alignment vertical="center"/>
    </xf>
    <xf numFmtId="3" fontId="33" fillId="5" borderId="20" xfId="0" applyNumberFormat="1" applyFont="1" applyFill="1" applyBorder="1" applyAlignment="1">
      <alignment vertical="center"/>
    </xf>
    <xf numFmtId="0" fontId="3" fillId="9" borderId="0" xfId="0" applyFont="1" applyFill="1"/>
    <xf numFmtId="3" fontId="0" fillId="9" borderId="0" xfId="0" applyNumberFormat="1" applyFill="1"/>
    <xf numFmtId="0" fontId="3" fillId="5" borderId="0" xfId="0" applyFont="1" applyFill="1"/>
    <xf numFmtId="0" fontId="0" fillId="9" borderId="19" xfId="0" applyFill="1" applyBorder="1"/>
    <xf numFmtId="3" fontId="0" fillId="9" borderId="20" xfId="0" applyNumberFormat="1" applyFill="1" applyBorder="1"/>
    <xf numFmtId="0" fontId="3" fillId="5" borderId="19" xfId="0" applyFont="1" applyFill="1" applyBorder="1"/>
    <xf numFmtId="3" fontId="3" fillId="5" borderId="20" xfId="0" applyNumberFormat="1" applyFont="1" applyFill="1" applyBorder="1"/>
    <xf numFmtId="0" fontId="44" fillId="0" borderId="0" xfId="5" applyFont="1" applyAlignment="1">
      <alignment vertical="center"/>
    </xf>
    <xf numFmtId="0" fontId="45" fillId="0" borderId="0" xfId="11" applyFont="1" applyAlignment="1">
      <alignment horizontal="left" vertical="center"/>
    </xf>
    <xf numFmtId="0" fontId="46" fillId="0" borderId="0" xfId="5" applyFont="1" applyAlignment="1">
      <alignment vertical="center"/>
    </xf>
    <xf numFmtId="0" fontId="1" fillId="0" borderId="1" xfId="11" applyBorder="1" applyAlignment="1">
      <alignment horizontal="left"/>
    </xf>
    <xf numFmtId="3" fontId="1" fillId="0" borderId="1" xfId="11" applyNumberFormat="1" applyBorder="1"/>
    <xf numFmtId="3" fontId="1" fillId="0" borderId="1" xfId="11" applyNumberFormat="1" applyBorder="1" applyAlignment="1">
      <alignment wrapText="1"/>
    </xf>
    <xf numFmtId="0" fontId="5" fillId="0" borderId="0" xfId="8"/>
    <xf numFmtId="0" fontId="30" fillId="3" borderId="21" xfId="3" applyFont="1" applyFill="1" applyBorder="1" applyAlignment="1">
      <alignment horizontal="center" vertical="center" wrapText="1"/>
    </xf>
    <xf numFmtId="0" fontId="0" fillId="0" borderId="1" xfId="0" applyBorder="1" applyAlignment="1">
      <alignment vertical="center"/>
    </xf>
    <xf numFmtId="3" fontId="1" fillId="0" borderId="1" xfId="1" applyNumberFormat="1" applyBorder="1" applyAlignment="1">
      <alignment horizontal="right" vertical="center"/>
    </xf>
    <xf numFmtId="0" fontId="13" fillId="0" borderId="1" xfId="0" applyFont="1" applyBorder="1" applyAlignment="1">
      <alignment vertical="center"/>
    </xf>
    <xf numFmtId="3" fontId="13" fillId="0" borderId="1" xfId="1" applyNumberFormat="1" applyFont="1" applyBorder="1" applyAlignment="1">
      <alignment horizontal="right" vertical="center"/>
    </xf>
    <xf numFmtId="165" fontId="0" fillId="0" borderId="1" xfId="0" applyNumberFormat="1" applyBorder="1" applyAlignment="1">
      <alignment horizontal="left" vertical="center"/>
    </xf>
    <xf numFmtId="0" fontId="3" fillId="3" borderId="2" xfId="0" applyFont="1" applyFill="1" applyBorder="1" applyAlignment="1">
      <alignment vertical="center"/>
    </xf>
    <xf numFmtId="3" fontId="3" fillId="3" borderId="1" xfId="1" applyNumberFormat="1" applyFont="1" applyFill="1" applyBorder="1" applyAlignment="1">
      <alignment horizontal="right" vertical="center"/>
    </xf>
    <xf numFmtId="0" fontId="3" fillId="3" borderId="1" xfId="0" applyFont="1" applyFill="1" applyBorder="1" applyAlignment="1">
      <alignment vertical="center"/>
    </xf>
    <xf numFmtId="0" fontId="30" fillId="3" borderId="1" xfId="3" applyFont="1" applyFill="1" applyBorder="1" applyAlignment="1">
      <alignment horizontal="center" vertical="center" wrapText="1"/>
    </xf>
    <xf numFmtId="0" fontId="6" fillId="0" borderId="0" xfId="5" applyFont="1" applyAlignment="1">
      <alignment vertical="center"/>
    </xf>
    <xf numFmtId="0" fontId="33" fillId="3" borderId="1" xfId="3" applyFont="1" applyFill="1" applyBorder="1" applyAlignment="1">
      <alignment horizontal="center"/>
    </xf>
    <xf numFmtId="9" fontId="18" fillId="0" borderId="1" xfId="13" applyFont="1" applyBorder="1" applyAlignment="1">
      <alignment horizontal="center"/>
    </xf>
    <xf numFmtId="0" fontId="33" fillId="3" borderId="1" xfId="3" applyFont="1" applyFill="1" applyBorder="1"/>
    <xf numFmtId="0" fontId="0" fillId="0" borderId="1" xfId="0" applyBorder="1" applyAlignment="1">
      <alignment horizontal="left"/>
    </xf>
    <xf numFmtId="0" fontId="0" fillId="0" borderId="0" xfId="0" applyFill="1" applyAlignment="1">
      <alignment vertical="center"/>
    </xf>
    <xf numFmtId="3" fontId="3" fillId="5" borderId="0" xfId="0" applyNumberFormat="1" applyFont="1" applyFill="1" applyAlignment="1">
      <alignment horizontal="center" vertical="center" wrapText="1"/>
    </xf>
    <xf numFmtId="166" fontId="18" fillId="0" borderId="1" xfId="1" applyNumberFormat="1" applyFont="1" applyBorder="1" applyAlignment="1">
      <alignment horizontal="left"/>
    </xf>
    <xf numFmtId="166" fontId="18" fillId="0" borderId="22" xfId="1" applyNumberFormat="1" applyFont="1" applyBorder="1" applyAlignment="1">
      <alignment horizontal="left"/>
    </xf>
    <xf numFmtId="0" fontId="47" fillId="3" borderId="1" xfId="3" applyFont="1" applyFill="1" applyBorder="1"/>
    <xf numFmtId="9" fontId="47" fillId="3" borderId="1" xfId="3" applyNumberFormat="1" applyFont="1" applyFill="1" applyBorder="1" applyAlignment="1">
      <alignment horizontal="center"/>
    </xf>
    <xf numFmtId="3" fontId="47" fillId="3" borderId="1" xfId="3" applyNumberFormat="1" applyFont="1" applyFill="1" applyBorder="1" applyAlignment="1">
      <alignment horizontal="center"/>
    </xf>
    <xf numFmtId="0" fontId="0" fillId="0" borderId="0" xfId="0"/>
    <xf numFmtId="0" fontId="36" fillId="0" borderId="0" xfId="9" applyFont="1" applyAlignment="1">
      <alignment horizontal="right"/>
    </xf>
    <xf numFmtId="0" fontId="36" fillId="0" borderId="0" xfId="9" applyFont="1"/>
    <xf numFmtId="0" fontId="40" fillId="0" borderId="0" xfId="5" applyFont="1" applyAlignment="1">
      <alignment horizontal="right"/>
    </xf>
    <xf numFmtId="0" fontId="38" fillId="0" borderId="0" xfId="5" applyFont="1"/>
    <xf numFmtId="3" fontId="38" fillId="0" borderId="0" xfId="5" applyNumberFormat="1" applyFont="1" applyAlignment="1">
      <alignment horizontal="right"/>
    </xf>
    <xf numFmtId="3" fontId="40" fillId="0" borderId="0" xfId="5" applyNumberFormat="1" applyFont="1" applyAlignment="1">
      <alignment horizontal="right"/>
    </xf>
    <xf numFmtId="3" fontId="36" fillId="0" borderId="0" xfId="9" applyNumberFormat="1" applyFont="1" applyAlignment="1">
      <alignment horizontal="right"/>
    </xf>
    <xf numFmtId="3" fontId="41" fillId="0" borderId="0" xfId="9" applyNumberFormat="1" applyFont="1" applyAlignment="1">
      <alignment horizontal="right"/>
    </xf>
    <xf numFmtId="3" fontId="42" fillId="0" borderId="0" xfId="9" applyNumberFormat="1" applyFont="1" applyAlignment="1">
      <alignment horizontal="right"/>
    </xf>
    <xf numFmtId="3" fontId="43" fillId="0" borderId="0" xfId="9" applyNumberFormat="1" applyFont="1" applyAlignment="1">
      <alignment horizontal="right"/>
    </xf>
    <xf numFmtId="3" fontId="40" fillId="0" borderId="0" xfId="5" applyNumberFormat="1" applyFont="1"/>
    <xf numFmtId="0" fontId="42" fillId="0" borderId="0" xfId="9" applyFont="1" applyAlignment="1">
      <alignment horizontal="right"/>
    </xf>
    <xf numFmtId="0" fontId="1" fillId="0" borderId="0" xfId="0" applyFont="1"/>
    <xf numFmtId="0" fontId="0" fillId="0" borderId="0" xfId="0"/>
    <xf numFmtId="3" fontId="38" fillId="0" borderId="0" xfId="5" applyNumberFormat="1" applyFont="1" applyAlignment="1">
      <alignment horizontal="right"/>
    </xf>
    <xf numFmtId="3" fontId="40" fillId="0" borderId="0" xfId="5" applyNumberFormat="1" applyFont="1" applyAlignment="1">
      <alignment horizontal="right"/>
    </xf>
    <xf numFmtId="3" fontId="36" fillId="0" borderId="0" xfId="9" applyNumberFormat="1" applyFont="1" applyAlignment="1">
      <alignment horizontal="right"/>
    </xf>
    <xf numFmtId="3" fontId="41" fillId="0" borderId="0" xfId="9" applyNumberFormat="1" applyFont="1" applyAlignment="1">
      <alignment horizontal="right"/>
    </xf>
    <xf numFmtId="3" fontId="42" fillId="0" borderId="0" xfId="9" applyNumberFormat="1" applyFont="1" applyAlignment="1">
      <alignment horizontal="right"/>
    </xf>
    <xf numFmtId="3" fontId="39" fillId="0" borderId="0" xfId="5" applyNumberFormat="1" applyFont="1" applyAlignment="1">
      <alignment horizontal="right"/>
    </xf>
    <xf numFmtId="3" fontId="13" fillId="0" borderId="1" xfId="1" applyNumberFormat="1" applyFont="1" applyFill="1" applyBorder="1" applyAlignment="1">
      <alignment horizontal="right" vertical="center"/>
    </xf>
    <xf numFmtId="0" fontId="48" fillId="0" borderId="0" xfId="11" applyFont="1" applyAlignment="1">
      <alignment horizontal="right"/>
    </xf>
    <xf numFmtId="0" fontId="49" fillId="4" borderId="1" xfId="11" applyFont="1" applyFill="1" applyBorder="1" applyAlignment="1">
      <alignment horizontal="left" vertical="center"/>
    </xf>
    <xf numFmtId="3" fontId="49" fillId="4" borderId="1" xfId="12" applyNumberFormat="1" applyFont="1" applyFill="1" applyBorder="1" applyAlignment="1">
      <alignment horizontal="center" vertical="center"/>
    </xf>
    <xf numFmtId="0" fontId="50" fillId="4" borderId="1" xfId="11" applyFont="1" applyFill="1" applyBorder="1" applyAlignment="1">
      <alignment horizontal="left" vertical="center"/>
    </xf>
    <xf numFmtId="3" fontId="50" fillId="4" borderId="1" xfId="12" applyNumberFormat="1" applyFont="1" applyFill="1" applyBorder="1" applyAlignment="1">
      <alignment horizontal="right" vertical="center"/>
    </xf>
    <xf numFmtId="0" fontId="1" fillId="10" borderId="1" xfId="11" applyFill="1" applyBorder="1"/>
    <xf numFmtId="3" fontId="1" fillId="10" borderId="1" xfId="11" applyNumberFormat="1" applyFill="1" applyBorder="1"/>
    <xf numFmtId="0" fontId="1" fillId="10" borderId="1" xfId="11" applyFill="1" applyBorder="1" applyAlignment="1">
      <alignment horizontal="left"/>
    </xf>
    <xf numFmtId="0" fontId="50" fillId="4" borderId="1" xfId="11" applyFont="1" applyFill="1" applyBorder="1" applyAlignment="1">
      <alignment horizontal="right" vertical="center"/>
    </xf>
    <xf numFmtId="0" fontId="51" fillId="11" borderId="1" xfId="11" applyFont="1" applyFill="1" applyBorder="1" applyAlignment="1">
      <alignment horizontal="left" vertical="center"/>
    </xf>
    <xf numFmtId="3" fontId="51" fillId="11" borderId="1" xfId="12" applyNumberFormat="1" applyFont="1" applyFill="1" applyBorder="1" applyAlignment="1">
      <alignment horizontal="center" vertical="center"/>
    </xf>
    <xf numFmtId="0" fontId="52" fillId="11" borderId="1" xfId="11" applyFont="1" applyFill="1" applyBorder="1" applyAlignment="1">
      <alignment horizontal="left" vertical="center"/>
    </xf>
    <xf numFmtId="3" fontId="52" fillId="11" borderId="1" xfId="12" applyNumberFormat="1" applyFont="1" applyFill="1" applyBorder="1" applyAlignment="1">
      <alignment horizontal="right" vertical="center"/>
    </xf>
    <xf numFmtId="0" fontId="1" fillId="0" borderId="1" xfId="11" applyFont="1" applyBorder="1" applyAlignment="1">
      <alignment horizontal="left"/>
    </xf>
    <xf numFmtId="3" fontId="1" fillId="0" borderId="1" xfId="11" applyNumberFormat="1" applyFont="1" applyBorder="1"/>
    <xf numFmtId="0" fontId="53" fillId="3" borderId="0" xfId="3" applyFont="1" applyFill="1"/>
    <xf numFmtId="0" fontId="54" fillId="0" borderId="0" xfId="5" applyFont="1"/>
    <xf numFmtId="9" fontId="5" fillId="0" borderId="0" xfId="13" applyFont="1"/>
    <xf numFmtId="3" fontId="1" fillId="0" borderId="1" xfId="1" applyNumberFormat="1" applyFill="1" applyBorder="1" applyAlignment="1">
      <alignment horizontal="right" vertical="center"/>
    </xf>
    <xf numFmtId="3" fontId="3" fillId="5" borderId="0" xfId="0" applyNumberFormat="1" applyFont="1" applyFill="1" applyAlignment="1">
      <alignment horizontal="center" vertical="center" wrapText="1"/>
    </xf>
    <xf numFmtId="0" fontId="22" fillId="0" borderId="0" xfId="0" applyNumberFormat="1" applyFont="1" applyFill="1" applyAlignment="1">
      <alignment horizontal="left" vertical="center" wrapText="1"/>
    </xf>
    <xf numFmtId="0" fontId="0" fillId="0" borderId="0" xfId="0" applyNumberFormat="1" applyFont="1" applyFill="1" applyAlignment="1"/>
    <xf numFmtId="0" fontId="24" fillId="7" borderId="0" xfId="0" applyNumberFormat="1" applyFont="1" applyFill="1" applyAlignment="1">
      <alignment horizontal="center" vertical="center" wrapText="1"/>
    </xf>
  </cellXfs>
  <cellStyles count="14">
    <cellStyle name="Färg1 2" xfId="3" xr:uid="{0F42963D-18C2-45AC-88CC-9B0364D66F36}"/>
    <cellStyle name="Normal" xfId="0" builtinId="0"/>
    <cellStyle name="Normal 10" xfId="11" xr:uid="{13DA5C14-78B4-46F9-8658-D3F10804ADDF}"/>
    <cellStyle name="Normal 13" xfId="8" xr:uid="{A38CB4AE-AEE9-40A1-A0C9-0C6FC7AA8FAA}"/>
    <cellStyle name="Normal 2" xfId="2" xr:uid="{AA1EC708-F202-4A40-B14B-14E5A6A26926}"/>
    <cellStyle name="Normal 2 2" xfId="5" xr:uid="{1836CD7B-81CB-4244-AF6B-04084B0A2B26}"/>
    <cellStyle name="Normal 3" xfId="10" xr:uid="{7B5FDC00-8F73-431B-80A4-838CAC3C1D59}"/>
    <cellStyle name="Normal 4" xfId="9" xr:uid="{0136875B-F5E7-4AB2-A5FD-563FD546696F}"/>
    <cellStyle name="Normal 8" xfId="7" xr:uid="{01F0310F-88F9-4E26-94E1-14A25BC9361E}"/>
    <cellStyle name="Procent" xfId="13" builtinId="5"/>
    <cellStyle name="Tusental" xfId="1" builtinId="3"/>
    <cellStyle name="Tusental 2" xfId="6" xr:uid="{1AED54B4-B83F-4454-87E3-82CC534CCBCF}"/>
    <cellStyle name="Tusental 4" xfId="4" xr:uid="{88985D39-A3E0-4EA8-B2BF-0CF195CB19C3}"/>
    <cellStyle name="Tusental 4 2" xfId="12" xr:uid="{ACCA2D9F-456C-4ADB-BD2D-E110E49ACD4B}"/>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1" tint="4.9989318521683403E-2"/>
      </font>
    </dxf>
    <dxf>
      <font>
        <color theme="0"/>
      </font>
    </dxf>
    <dxf>
      <font>
        <color theme="1"/>
      </font>
    </dxf>
    <dxf>
      <font>
        <color theme="1" tint="4.9989318521683403E-2"/>
      </font>
    </dxf>
    <dxf>
      <font>
        <color theme="0"/>
      </font>
    </dxf>
    <dxf>
      <font>
        <color theme="1"/>
      </font>
    </dxf>
    <dxf>
      <font>
        <color theme="1" tint="4.9989318521683403E-2"/>
      </font>
    </dxf>
    <dxf>
      <font>
        <color theme="0"/>
      </font>
    </dxf>
    <dxf>
      <font>
        <color theme="1"/>
      </font>
    </dxf>
    <dxf>
      <font>
        <color theme="1"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pportmodul\egna%20rapporter\budgetcheck\budgetcheck%20fk%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2-60000\beila\03%20prestoplanering\033%20prestoplanering%20(2003)\01%20januari\data%20(2003)\01%20budg%20utg%20(ej%20vlm)(l&#228;n-prog)(22-3)(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v Fk"/>
      <sheetName val="Datablad"/>
      <sheetName val="PFK"/>
    </sheetNames>
    <sheetDataSet>
      <sheetData sheetId="0" refreshError="1"/>
      <sheetData sheetId="1">
        <row r="3">
          <cell r="B3" t="str">
            <v>Budgetcheck 2009 Samv Fk</v>
          </cell>
        </row>
        <row r="5">
          <cell r="B5" t="str">
            <v xml:space="preserve">2009, Jan - Dec, </v>
          </cell>
        </row>
        <row r="8">
          <cell r="A8" t="str">
            <v>AMO</v>
          </cell>
          <cell r="B8" t="str">
            <v>Mall</v>
          </cell>
          <cell r="C8" t="str">
            <v>Mallrad</v>
          </cell>
          <cell r="D8" t="str">
            <v>Budgeterad inkomst</v>
          </cell>
          <cell r="E8" t="str">
            <v>Budgetnamn</v>
          </cell>
          <cell r="F8" t="str">
            <v>BudgetStatus</v>
          </cell>
          <cell r="G8" t="str">
            <v>Budgetdatum</v>
          </cell>
        </row>
        <row r="9">
          <cell r="A9">
            <v>605002</v>
          </cell>
          <cell r="B9" t="str">
            <v>Samverkan Fk &amp; PILA. km 2009:1</v>
          </cell>
          <cell r="C9" t="str">
            <v>Medelstilldelning</v>
          </cell>
          <cell r="D9">
            <v>2139999.9959999998</v>
          </cell>
          <cell r="E9" t="str">
            <v>Operativ plan 2009-08-14</v>
          </cell>
          <cell r="F9" t="str">
            <v>Operativ plan</v>
          </cell>
          <cell r="G9">
            <v>40036.412083333336</v>
          </cell>
        </row>
        <row r="10">
          <cell r="A10">
            <v>605002</v>
          </cell>
          <cell r="B10" t="str">
            <v>Samverkan Fk &amp; PILA. km 2009:1</v>
          </cell>
          <cell r="C10" t="str">
            <v>Ber översk program 2009 (+)</v>
          </cell>
          <cell r="D10">
            <v>242000</v>
          </cell>
          <cell r="E10" t="str">
            <v>Operativ plan 2009-08-14</v>
          </cell>
          <cell r="F10" t="str">
            <v>Operativ plan</v>
          </cell>
          <cell r="G10">
            <v>40036.412083333336</v>
          </cell>
        </row>
        <row r="11">
          <cell r="A11">
            <v>605002</v>
          </cell>
          <cell r="B11" t="str">
            <v>Samverkan Fk &amp; PILA. km 2009:1</v>
          </cell>
          <cell r="C11" t="str">
            <v>Ber översk förvaltn 2009 (+)</v>
          </cell>
          <cell r="D11">
            <v>0</v>
          </cell>
          <cell r="E11" t="str">
            <v>Operativ plan 2009-08-14</v>
          </cell>
          <cell r="F11" t="str">
            <v>Operativ plan</v>
          </cell>
          <cell r="G11">
            <v>40036.412083333336</v>
          </cell>
        </row>
        <row r="12">
          <cell r="A12">
            <v>605002</v>
          </cell>
          <cell r="B12" t="str">
            <v>Samverkan Fk &amp; PILA. km 2009:1</v>
          </cell>
          <cell r="C12" t="str">
            <v>Ber undersk program 2009 (-)</v>
          </cell>
          <cell r="D12">
            <v>0</v>
          </cell>
          <cell r="E12" t="str">
            <v>Operativ plan 2009-08-14</v>
          </cell>
          <cell r="F12" t="str">
            <v>Operativ plan</v>
          </cell>
          <cell r="G12">
            <v>40036.412083333336</v>
          </cell>
        </row>
        <row r="13">
          <cell r="A13">
            <v>605002</v>
          </cell>
          <cell r="B13" t="str">
            <v>Samverkan Fk &amp; PILA. km 2009:1</v>
          </cell>
          <cell r="C13" t="str">
            <v>Ber undersk förvaltn 2009 (-)</v>
          </cell>
          <cell r="D13">
            <v>0</v>
          </cell>
          <cell r="E13" t="str">
            <v>Operativ plan 2009-08-14</v>
          </cell>
          <cell r="F13" t="str">
            <v>Operativ plan</v>
          </cell>
          <cell r="G13">
            <v>40036.412083333336</v>
          </cell>
        </row>
        <row r="14">
          <cell r="A14">
            <v>605002</v>
          </cell>
          <cell r="B14" t="str">
            <v>Samverkan Fk &amp; PILA. km 2009:1</v>
          </cell>
          <cell r="C14" t="str">
            <v>Reserv (+)</v>
          </cell>
          <cell r="D14">
            <v>0</v>
          </cell>
          <cell r="E14" t="str">
            <v>Operativ plan 2009-08-14</v>
          </cell>
          <cell r="F14" t="str">
            <v>Operativ plan</v>
          </cell>
          <cell r="G14">
            <v>40036.412083333336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Datablad"/>
      <sheetName val="översikt"/>
    </sheetNames>
    <sheetDataSet>
      <sheetData sheetId="0"/>
      <sheetData sheetId="1" refreshError="1">
        <row r="9">
          <cell r="A9" t="str">
            <v>AB, Stockholm</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41A7F-E689-4012-889F-09A435BD7C3B}">
  <dimension ref="B1:F32"/>
  <sheetViews>
    <sheetView zoomScaleNormal="100" workbookViewId="0">
      <selection activeCell="B1" sqref="B1"/>
    </sheetView>
  </sheetViews>
  <sheetFormatPr defaultColWidth="8.88671875" defaultRowHeight="14.4"/>
  <cols>
    <col min="1" max="1" width="2.109375" style="72" customWidth="1"/>
    <col min="2" max="2" width="28.5546875" style="72" customWidth="1"/>
    <col min="3" max="3" width="14.109375" style="72" customWidth="1"/>
    <col min="4" max="4" width="2.109375" style="72" customWidth="1"/>
    <col min="5" max="5" width="12.88671875" style="72" customWidth="1"/>
    <col min="6" max="16384" width="8.88671875" style="72"/>
  </cols>
  <sheetData>
    <row r="1" spans="2:6" ht="11.25" customHeight="1"/>
    <row r="2" spans="2:6" ht="22.5" customHeight="1">
      <c r="B2" s="1" t="s">
        <v>180</v>
      </c>
      <c r="C2" s="91"/>
    </row>
    <row r="3" spans="2:6" ht="15" customHeight="1">
      <c r="B3" s="92"/>
      <c r="C3" s="92"/>
    </row>
    <row r="4" spans="2:6" s="73" customFormat="1" ht="18.899999999999999" customHeight="1">
      <c r="B4" s="70" t="s">
        <v>197</v>
      </c>
      <c r="C4" s="70"/>
    </row>
    <row r="5" spans="2:6" s="73" customFormat="1" ht="15" customHeight="1">
      <c r="B5" s="4"/>
      <c r="C5" s="5" t="s">
        <v>1</v>
      </c>
    </row>
    <row r="6" spans="2:6" s="73" customFormat="1" ht="15" customHeight="1">
      <c r="B6" s="6"/>
      <c r="C6" s="175" t="s">
        <v>2</v>
      </c>
    </row>
    <row r="7" spans="2:6" s="73" customFormat="1" ht="15" customHeight="1">
      <c r="B7" s="176" t="s">
        <v>209</v>
      </c>
      <c r="C7" s="177">
        <v>7591264</v>
      </c>
    </row>
    <row r="8" spans="2:6" s="73" customFormat="1" ht="15" customHeight="1">
      <c r="B8" s="178" t="s">
        <v>208</v>
      </c>
      <c r="C8" s="218">
        <v>173000</v>
      </c>
      <c r="D8" s="73" t="s">
        <v>210</v>
      </c>
      <c r="E8" s="190"/>
      <c r="F8" s="190"/>
    </row>
    <row r="9" spans="2:6" s="73" customFormat="1" ht="15" customHeight="1">
      <c r="B9" s="180" t="s">
        <v>225</v>
      </c>
      <c r="C9" s="177">
        <f>C7*0.02</f>
        <v>151825.28</v>
      </c>
    </row>
    <row r="10" spans="2:6" s="73" customFormat="1" ht="15" customHeight="1">
      <c r="B10" s="181" t="s">
        <v>9</v>
      </c>
      <c r="C10" s="182">
        <f>SUM(C7:C9)</f>
        <v>7916089.2800000003</v>
      </c>
    </row>
    <row r="11" spans="2:6" s="73" customFormat="1" ht="15" customHeight="1"/>
    <row r="12" spans="2:6" s="73" customFormat="1" ht="15" customHeight="1">
      <c r="B12" s="183" t="s">
        <v>10</v>
      </c>
      <c r="C12" s="184" t="s">
        <v>111</v>
      </c>
    </row>
    <row r="13" spans="2:6" s="73" customFormat="1" ht="15" customHeight="1">
      <c r="B13" s="176" t="s">
        <v>226</v>
      </c>
      <c r="C13" s="177">
        <v>3339229</v>
      </c>
    </row>
    <row r="14" spans="2:6" s="73" customFormat="1" ht="15" customHeight="1">
      <c r="B14" s="178" t="s">
        <v>13</v>
      </c>
      <c r="C14" s="218">
        <v>1741471.87530901</v>
      </c>
    </row>
    <row r="15" spans="2:6" s="73" customFormat="1" ht="15" customHeight="1">
      <c r="B15" s="180" t="s">
        <v>14</v>
      </c>
      <c r="C15" s="237">
        <v>1377952.559718681</v>
      </c>
    </row>
    <row r="16" spans="2:6" s="73" customFormat="1" ht="15" customHeight="1">
      <c r="B16" s="176" t="s">
        <v>15</v>
      </c>
      <c r="C16" s="177">
        <v>59745.504433268638</v>
      </c>
    </row>
    <row r="17" spans="2:5" s="73" customFormat="1" ht="15" customHeight="1">
      <c r="B17" s="178" t="s">
        <v>16</v>
      </c>
      <c r="C17" s="218">
        <v>5868.3061387541593</v>
      </c>
      <c r="E17" s="127"/>
    </row>
    <row r="18" spans="2:5" s="73" customFormat="1" ht="15" customHeight="1">
      <c r="B18" s="180" t="s">
        <v>17</v>
      </c>
      <c r="C18" s="177">
        <v>9788.041599431268</v>
      </c>
    </row>
    <row r="19" spans="2:5" s="73" customFormat="1" ht="15" customHeight="1">
      <c r="B19" s="176" t="s">
        <v>18</v>
      </c>
      <c r="C19" s="177">
        <v>64543.711911649152</v>
      </c>
    </row>
    <row r="20" spans="2:5" s="73" customFormat="1" ht="15" customHeight="1">
      <c r="B20" s="178" t="s">
        <v>19</v>
      </c>
      <c r="C20" s="218">
        <v>114007.95490590722</v>
      </c>
    </row>
    <row r="21" spans="2:5" s="73" customFormat="1" ht="15" customHeight="1">
      <c r="B21" s="180" t="s">
        <v>20</v>
      </c>
      <c r="C21" s="177">
        <v>794566.30288754182</v>
      </c>
    </row>
    <row r="22" spans="2:5" s="73" customFormat="1" ht="15" customHeight="1">
      <c r="B22" s="176" t="s">
        <v>181</v>
      </c>
      <c r="C22" s="177">
        <v>264744.53201693052</v>
      </c>
    </row>
    <row r="23" spans="2:5" s="73" customFormat="1" ht="15" customHeight="1">
      <c r="B23" s="178" t="s">
        <v>21</v>
      </c>
      <c r="C23" s="218">
        <v>270819.20227701112</v>
      </c>
      <c r="E23" s="127"/>
    </row>
    <row r="24" spans="2:5" s="73" customFormat="1" ht="15" customHeight="1">
      <c r="B24" s="180" t="s">
        <v>22</v>
      </c>
      <c r="C24" s="177">
        <v>131486.79804213878</v>
      </c>
    </row>
    <row r="25" spans="2:5" s="73" customFormat="1" ht="15" customHeight="1">
      <c r="B25" s="176" t="s">
        <v>182</v>
      </c>
      <c r="C25" s="177">
        <v>9268.1199733354006</v>
      </c>
    </row>
    <row r="26" spans="2:5" s="73" customFormat="1" ht="15" customHeight="1">
      <c r="B26" s="183" t="s">
        <v>183</v>
      </c>
      <c r="C26" s="182">
        <f>SUM(C13:C25)</f>
        <v>8183491.9092136594</v>
      </c>
    </row>
    <row r="27" spans="2:5" s="73" customFormat="1" ht="15" customHeight="1">
      <c r="B27" s="178" t="s">
        <v>204</v>
      </c>
      <c r="C27" s="179">
        <v>-313312</v>
      </c>
    </row>
    <row r="28" spans="2:5">
      <c r="B28" s="178" t="s">
        <v>184</v>
      </c>
      <c r="C28" s="179">
        <v>-220349.95252342403</v>
      </c>
    </row>
    <row r="29" spans="2:5">
      <c r="B29" s="178" t="s">
        <v>26</v>
      </c>
      <c r="C29" s="179">
        <v>190347</v>
      </c>
    </row>
    <row r="30" spans="2:5">
      <c r="B30" s="178" t="s">
        <v>27</v>
      </c>
      <c r="C30" s="179">
        <v>75912</v>
      </c>
    </row>
    <row r="31" spans="2:5">
      <c r="B31" s="183" t="s">
        <v>185</v>
      </c>
      <c r="C31" s="182">
        <f>SUM(C27:C30)</f>
        <v>-267402.95252342406</v>
      </c>
    </row>
    <row r="32" spans="2:5">
      <c r="B32" s="183" t="s">
        <v>28</v>
      </c>
      <c r="C32" s="182">
        <f>C26+C31</f>
        <v>7916088.9566902351</v>
      </c>
    </row>
  </sheetData>
  <pageMargins left="0.7" right="0.7" top="0.75" bottom="0.75" header="0.3" footer="0.3"/>
  <pageSetup paperSize="9" orientation="portrait"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3706-450C-4BA5-A995-AB6309A2539B}">
  <dimension ref="B2:O48"/>
  <sheetViews>
    <sheetView workbookViewId="0"/>
  </sheetViews>
  <sheetFormatPr defaultColWidth="8.88671875" defaultRowHeight="14.4"/>
  <cols>
    <col min="1" max="1" width="2.5546875" style="3" customWidth="1"/>
    <col min="2" max="2" width="33.5546875" style="3" customWidth="1"/>
    <col min="3" max="3" width="12.109375" style="3" customWidth="1"/>
    <col min="4" max="4" width="5.5546875" style="3" customWidth="1"/>
    <col min="5" max="5" width="12.109375" style="3" customWidth="1"/>
    <col min="6" max="6" width="5.109375" style="3" customWidth="1"/>
    <col min="7" max="7" width="12.109375" style="3" customWidth="1"/>
    <col min="8" max="8" width="4.88671875" style="3" customWidth="1"/>
    <col min="9" max="9" width="12.44140625" style="3" customWidth="1"/>
    <col min="10" max="10" width="21.44140625" style="3" hidden="1" customWidth="1"/>
    <col min="11" max="11" width="5.44140625" style="3" customWidth="1"/>
    <col min="12" max="12" width="12.109375" style="3" customWidth="1"/>
    <col min="13" max="13" width="4.109375" style="3" customWidth="1"/>
    <col min="14" max="14" width="12.109375" style="3" customWidth="1"/>
    <col min="15" max="15" width="11.5546875" style="3" customWidth="1"/>
    <col min="16" max="16384" width="8.88671875" style="3"/>
  </cols>
  <sheetData>
    <row r="2" spans="2:15" ht="22.8">
      <c r="B2" s="1" t="s">
        <v>0</v>
      </c>
      <c r="C2"/>
      <c r="D2" s="2"/>
      <c r="E2"/>
      <c r="F2"/>
      <c r="G2"/>
      <c r="L2"/>
      <c r="N2"/>
    </row>
    <row r="3" spans="2:15">
      <c r="B3" s="4"/>
      <c r="C3" s="5"/>
      <c r="D3" s="2"/>
      <c r="E3"/>
      <c r="F3"/>
      <c r="G3"/>
      <c r="L3"/>
      <c r="N3"/>
    </row>
    <row r="4" spans="2:15" ht="24.6" customHeight="1">
      <c r="B4" s="4"/>
      <c r="C4" s="5" t="s">
        <v>1</v>
      </c>
      <c r="D4" s="2"/>
      <c r="E4"/>
      <c r="F4"/>
      <c r="G4"/>
      <c r="I4" s="41" t="s">
        <v>33</v>
      </c>
      <c r="L4"/>
      <c r="N4"/>
    </row>
    <row r="5" spans="2:15" ht="41.4">
      <c r="B5" s="6" t="s">
        <v>2</v>
      </c>
      <c r="C5" s="7" t="s">
        <v>3</v>
      </c>
      <c r="D5" s="8"/>
      <c r="E5" s="7" t="s">
        <v>4</v>
      </c>
      <c r="F5" s="9"/>
      <c r="G5" s="7" t="s">
        <v>5</v>
      </c>
      <c r="I5" s="7" t="s">
        <v>2</v>
      </c>
      <c r="J5" s="7" t="s">
        <v>29</v>
      </c>
      <c r="L5" s="7" t="s">
        <v>43</v>
      </c>
      <c r="N5" s="7"/>
      <c r="O5" s="42" t="s">
        <v>29</v>
      </c>
    </row>
    <row r="6" spans="2:15">
      <c r="B6" s="10" t="s">
        <v>6</v>
      </c>
      <c r="C6" s="11">
        <v>7272000</v>
      </c>
      <c r="D6" s="2"/>
      <c r="E6" s="11"/>
      <c r="F6"/>
      <c r="G6" s="11"/>
      <c r="I6" s="11">
        <f>C6-49000</f>
        <v>7223000</v>
      </c>
      <c r="J6" s="31" t="s">
        <v>38</v>
      </c>
      <c r="L6" s="11"/>
      <c r="N6" s="11"/>
    </row>
    <row r="7" spans="2:15">
      <c r="B7" s="10" t="s">
        <v>32</v>
      </c>
      <c r="C7" s="11"/>
      <c r="D7" s="2"/>
      <c r="E7" s="11"/>
      <c r="F7"/>
      <c r="G7" s="11"/>
      <c r="I7" s="11">
        <v>330000</v>
      </c>
      <c r="J7" s="31" t="s">
        <v>41</v>
      </c>
      <c r="L7" s="11"/>
      <c r="N7" s="11"/>
    </row>
    <row r="8" spans="2:15">
      <c r="B8" s="10" t="s">
        <v>7</v>
      </c>
      <c r="C8" s="11">
        <v>0</v>
      </c>
      <c r="D8" s="2"/>
      <c r="E8" s="12"/>
      <c r="F8"/>
      <c r="G8" s="13"/>
      <c r="I8" s="12">
        <v>78000</v>
      </c>
      <c r="J8" s="30" t="s">
        <v>30</v>
      </c>
      <c r="L8" s="13"/>
      <c r="N8" s="13"/>
    </row>
    <row r="9" spans="2:15">
      <c r="B9" s="14" t="s">
        <v>8</v>
      </c>
      <c r="C9" s="11">
        <f>167000+160000</f>
        <v>327000</v>
      </c>
      <c r="D9" s="2"/>
      <c r="E9" s="12"/>
      <c r="F9"/>
      <c r="G9" s="13"/>
      <c r="I9" s="12">
        <v>343395</v>
      </c>
      <c r="J9" s="40" t="s">
        <v>42</v>
      </c>
      <c r="L9" s="13"/>
      <c r="N9" s="13"/>
    </row>
    <row r="10" spans="2:15">
      <c r="B10" s="15" t="s">
        <v>9</v>
      </c>
      <c r="C10" s="16">
        <f>SUM(C6:C9)</f>
        <v>7599000</v>
      </c>
      <c r="D10" s="2"/>
      <c r="E10" s="16">
        <f>SUM(E6:E9)</f>
        <v>0</v>
      </c>
      <c r="F10"/>
      <c r="G10" s="16">
        <f>SUM(G6:G9)</f>
        <v>0</v>
      </c>
      <c r="I10" s="16">
        <f>SUM(I6:I9)</f>
        <v>7974395</v>
      </c>
      <c r="J10" s="33"/>
      <c r="L10" s="16">
        <f>SUM(L6:L9)</f>
        <v>0</v>
      </c>
      <c r="N10" s="16"/>
    </row>
    <row r="11" spans="2:15">
      <c r="B11"/>
      <c r="C11" s="17"/>
      <c r="D11" s="2"/>
      <c r="E11" s="17"/>
      <c r="F11"/>
      <c r="G11" s="17"/>
      <c r="I11" s="17"/>
      <c r="J11" s="34"/>
      <c r="L11" s="17"/>
      <c r="N11" s="17"/>
    </row>
    <row r="12" spans="2:15" ht="55.2">
      <c r="B12" s="18" t="s">
        <v>10</v>
      </c>
      <c r="C12" s="7" t="str">
        <f>C5</f>
        <v>Tilldelning 2020</v>
      </c>
      <c r="D12" s="2"/>
      <c r="E12" s="7" t="str">
        <f>E5</f>
        <v>Prognos 27 mars</v>
      </c>
      <c r="F12"/>
      <c r="G12" s="7" t="str">
        <f>G5</f>
        <v>Skillnad tilldelning / prognos</v>
      </c>
      <c r="I12" s="7" t="s">
        <v>96</v>
      </c>
      <c r="J12" s="35" t="s">
        <v>29</v>
      </c>
      <c r="L12" s="7" t="str">
        <f>L5</f>
        <v>Prognos 13 maj</v>
      </c>
      <c r="N12" s="7" t="s">
        <v>97</v>
      </c>
    </row>
    <row r="13" spans="2:15">
      <c r="B13" s="10" t="s">
        <v>11</v>
      </c>
      <c r="C13" s="11">
        <v>959000</v>
      </c>
      <c r="D13" s="2"/>
      <c r="E13" s="11">
        <v>1016015.1144749901</v>
      </c>
      <c r="F13"/>
      <c r="G13" s="11">
        <f>C13-E13</f>
        <v>-57015.114474990056</v>
      </c>
      <c r="I13" s="39">
        <f>E13</f>
        <v>1016015.1144749901</v>
      </c>
      <c r="J13" s="31" t="s">
        <v>36</v>
      </c>
      <c r="L13" s="11">
        <v>1016015</v>
      </c>
      <c r="N13" s="11">
        <f>I13-L13</f>
        <v>0.11447499005589634</v>
      </c>
      <c r="O13" s="42" t="s">
        <v>100</v>
      </c>
    </row>
    <row r="14" spans="2:15">
      <c r="B14" s="10" t="s">
        <v>12</v>
      </c>
      <c r="C14" s="11">
        <v>1867000</v>
      </c>
      <c r="D14" s="2"/>
      <c r="E14" s="12">
        <v>1972572.8526334509</v>
      </c>
      <c r="F14" s="19"/>
      <c r="G14" s="11">
        <f t="shared" ref="G14:G24" si="0">C14-E14</f>
        <v>-105572.85263345088</v>
      </c>
      <c r="I14" s="39">
        <f>E14+30000</f>
        <v>2002572.8526334509</v>
      </c>
      <c r="J14" s="31" t="s">
        <v>37</v>
      </c>
      <c r="L14" s="11">
        <v>2002573</v>
      </c>
      <c r="N14" s="11">
        <f t="shared" ref="N14:N24" si="1">I14-L14</f>
        <v>-0.14736654912121594</v>
      </c>
      <c r="O14" s="42" t="s">
        <v>101</v>
      </c>
    </row>
    <row r="15" spans="2:15">
      <c r="B15" s="10" t="s">
        <v>13</v>
      </c>
      <c r="C15" s="11">
        <v>1505152</v>
      </c>
      <c r="D15" s="2"/>
      <c r="E15" s="11">
        <v>1485150.9432272019</v>
      </c>
      <c r="F15"/>
      <c r="G15" s="11">
        <f>C15-E15-1</f>
        <v>20000.056772798067</v>
      </c>
      <c r="I15" s="39">
        <f>E15+225000</f>
        <v>1710150.9432272019</v>
      </c>
      <c r="J15" s="31" t="s">
        <v>40</v>
      </c>
      <c r="L15" s="11">
        <v>1708651</v>
      </c>
      <c r="N15" s="11">
        <f t="shared" si="1"/>
        <v>1499.943227201933</v>
      </c>
      <c r="O15" s="42" t="s">
        <v>109</v>
      </c>
    </row>
    <row r="16" spans="2:15">
      <c r="B16" s="10" t="s">
        <v>14</v>
      </c>
      <c r="C16" s="11">
        <v>812697</v>
      </c>
      <c r="D16" s="2"/>
      <c r="E16" s="11">
        <v>831475.02338647796</v>
      </c>
      <c r="F16"/>
      <c r="G16" s="11">
        <f t="shared" si="0"/>
        <v>-18778.023386477958</v>
      </c>
      <c r="I16" s="39">
        <f>E16</f>
        <v>831475.02338647796</v>
      </c>
      <c r="J16" s="31"/>
      <c r="L16" s="11">
        <f>I16</f>
        <v>831475.02338647796</v>
      </c>
      <c r="N16" s="11">
        <f t="shared" si="1"/>
        <v>0</v>
      </c>
      <c r="O16" s="42"/>
    </row>
    <row r="17" spans="2:15">
      <c r="B17" s="10" t="s">
        <v>15</v>
      </c>
      <c r="C17" s="11">
        <v>40796</v>
      </c>
      <c r="D17" s="2"/>
      <c r="E17" s="11">
        <v>40517.937290253998</v>
      </c>
      <c r="F17"/>
      <c r="G17" s="11">
        <f t="shared" si="0"/>
        <v>278.06270974600193</v>
      </c>
      <c r="I17" s="11">
        <f t="shared" ref="I17:I24" si="2">E17</f>
        <v>40517.937290253998</v>
      </c>
      <c r="J17" s="32"/>
      <c r="L17" s="11">
        <v>38834</v>
      </c>
      <c r="N17" s="11">
        <f t="shared" si="1"/>
        <v>1683.9372902539981</v>
      </c>
      <c r="O17" s="42"/>
    </row>
    <row r="18" spans="2:15">
      <c r="B18" s="10" t="s">
        <v>16</v>
      </c>
      <c r="C18" s="11">
        <v>4140</v>
      </c>
      <c r="D18" s="2"/>
      <c r="E18" s="11">
        <v>3840.4760447940002</v>
      </c>
      <c r="F18"/>
      <c r="G18" s="11">
        <f t="shared" si="0"/>
        <v>299.52395520599975</v>
      </c>
      <c r="I18" s="11">
        <f t="shared" si="2"/>
        <v>3840.4760447940002</v>
      </c>
      <c r="J18" s="32"/>
      <c r="L18" s="11">
        <v>3915</v>
      </c>
      <c r="N18" s="11">
        <f t="shared" si="1"/>
        <v>-74.523955205999755</v>
      </c>
      <c r="O18" s="42"/>
    </row>
    <row r="19" spans="2:15">
      <c r="B19" s="10" t="s">
        <v>17</v>
      </c>
      <c r="C19" s="11">
        <v>9290</v>
      </c>
      <c r="D19" s="2"/>
      <c r="E19" s="11">
        <v>9289.8669374189994</v>
      </c>
      <c r="F19"/>
      <c r="G19" s="11">
        <f t="shared" si="0"/>
        <v>0.13306258100055857</v>
      </c>
      <c r="I19" s="11">
        <f t="shared" si="2"/>
        <v>9289.8669374189994</v>
      </c>
      <c r="J19" s="32"/>
      <c r="L19" s="11">
        <v>9290</v>
      </c>
      <c r="N19" s="11">
        <f t="shared" si="1"/>
        <v>-0.13306258100055857</v>
      </c>
      <c r="O19" s="42"/>
    </row>
    <row r="20" spans="2:15">
      <c r="B20" s="10" t="s">
        <v>18</v>
      </c>
      <c r="C20" s="11">
        <v>60700</v>
      </c>
      <c r="D20" s="2"/>
      <c r="E20" s="11">
        <v>61021.232832362999</v>
      </c>
      <c r="F20"/>
      <c r="G20" s="11">
        <f t="shared" si="0"/>
        <v>-321.23283236299903</v>
      </c>
      <c r="I20" s="11">
        <f t="shared" si="2"/>
        <v>61021.232832362999</v>
      </c>
      <c r="J20" s="32"/>
      <c r="L20" s="11">
        <v>60027</v>
      </c>
      <c r="N20" s="39">
        <f t="shared" si="1"/>
        <v>994.23283236299903</v>
      </c>
      <c r="O20" s="42"/>
    </row>
    <row r="21" spans="2:15">
      <c r="B21" s="10" t="s">
        <v>19</v>
      </c>
      <c r="C21" s="11">
        <v>64711</v>
      </c>
      <c r="D21" s="2"/>
      <c r="E21" s="11">
        <v>64710.984179116</v>
      </c>
      <c r="F21"/>
      <c r="G21" s="11">
        <f t="shared" si="0"/>
        <v>1.5820884000277147E-2</v>
      </c>
      <c r="I21" s="11">
        <f t="shared" si="2"/>
        <v>64710.984179116</v>
      </c>
      <c r="J21" s="32"/>
      <c r="L21" s="11">
        <v>69711</v>
      </c>
      <c r="N21" s="11">
        <f t="shared" si="1"/>
        <v>-5000.0158208840003</v>
      </c>
      <c r="O21" s="42" t="s">
        <v>46</v>
      </c>
    </row>
    <row r="22" spans="2:15">
      <c r="B22" s="10" t="s">
        <v>20</v>
      </c>
      <c r="C22" s="11">
        <v>334382</v>
      </c>
      <c r="D22" s="2"/>
      <c r="E22" s="11">
        <v>324419.24667014799</v>
      </c>
      <c r="F22"/>
      <c r="G22" s="11">
        <f t="shared" si="0"/>
        <v>9962.7533298520138</v>
      </c>
      <c r="I22" s="11">
        <f t="shared" si="2"/>
        <v>324419.24667014799</v>
      </c>
      <c r="J22" s="38"/>
      <c r="L22" s="11">
        <v>320983</v>
      </c>
      <c r="N22" s="11">
        <f t="shared" si="1"/>
        <v>3436.2466701479862</v>
      </c>
      <c r="O22" s="42" t="s">
        <v>110</v>
      </c>
    </row>
    <row r="23" spans="2:15">
      <c r="B23" s="10" t="s">
        <v>21</v>
      </c>
      <c r="C23" s="11">
        <v>139569</v>
      </c>
      <c r="D23" s="2"/>
      <c r="E23" s="11">
        <v>139015.585251763</v>
      </c>
      <c r="F23"/>
      <c r="G23" s="11">
        <f t="shared" si="0"/>
        <v>553.41474823700264</v>
      </c>
      <c r="I23" s="11">
        <f t="shared" si="2"/>
        <v>139015.585251763</v>
      </c>
      <c r="J23" s="32"/>
      <c r="L23" s="11">
        <v>145611</v>
      </c>
      <c r="N23" s="46">
        <f t="shared" si="1"/>
        <v>-6595.4147482370026</v>
      </c>
      <c r="O23" s="42" t="s">
        <v>104</v>
      </c>
    </row>
    <row r="24" spans="2:15">
      <c r="B24" s="10" t="s">
        <v>22</v>
      </c>
      <c r="C24" s="11">
        <v>98000</v>
      </c>
      <c r="D24" s="2"/>
      <c r="E24" s="11">
        <v>97911.663366720008</v>
      </c>
      <c r="F24"/>
      <c r="G24" s="11">
        <f t="shared" si="0"/>
        <v>88.336633279992384</v>
      </c>
      <c r="I24" s="11">
        <f t="shared" si="2"/>
        <v>97911.663366720008</v>
      </c>
      <c r="J24" s="32"/>
      <c r="L24" s="11">
        <v>98426</v>
      </c>
      <c r="N24" s="11">
        <f t="shared" si="1"/>
        <v>-514.33663327999238</v>
      </c>
      <c r="O24" s="42" t="s">
        <v>106</v>
      </c>
    </row>
    <row r="25" spans="2:15">
      <c r="B25" s="20" t="s">
        <v>102</v>
      </c>
      <c r="C25" s="16">
        <f>SUM(C13:C24)</f>
        <v>5895437</v>
      </c>
      <c r="D25" s="21"/>
      <c r="E25" s="16">
        <f>SUM(E13:E24)</f>
        <v>6045940.9262946993</v>
      </c>
      <c r="F25"/>
      <c r="G25" s="16">
        <f>SUM(G13:G24)</f>
        <v>-150504.9262946978</v>
      </c>
      <c r="I25" s="16">
        <f>SUM(I13:I24)</f>
        <v>6300940.9262946993</v>
      </c>
      <c r="J25" s="33"/>
      <c r="L25" s="16">
        <f>SUM(L13:L24)</f>
        <v>6305511.0233864784</v>
      </c>
      <c r="N25" s="16">
        <f>SUM(N13:N24)</f>
        <v>-4570.0970917801442</v>
      </c>
      <c r="O25" s="42"/>
    </row>
    <row r="26" spans="2:15" ht="55.2">
      <c r="B26" s="18" t="s">
        <v>23</v>
      </c>
      <c r="C26" s="7" t="str">
        <f>C5</f>
        <v>Tilldelning 2020</v>
      </c>
      <c r="D26" s="2"/>
      <c r="E26" s="7" t="str">
        <f>E5</f>
        <v>Prognos 27 mars</v>
      </c>
      <c r="F26"/>
      <c r="G26" s="7" t="str">
        <f>G5</f>
        <v>Skillnad tilldelning / prognos</v>
      </c>
      <c r="I26" s="7" t="s">
        <v>96</v>
      </c>
      <c r="J26" s="35"/>
      <c r="L26" s="7" t="str">
        <f>L5</f>
        <v>Prognos 13 maj</v>
      </c>
      <c r="N26" s="7" t="s">
        <v>97</v>
      </c>
      <c r="O26" s="42"/>
    </row>
    <row r="27" spans="2:15">
      <c r="B27" s="10" t="s">
        <v>11</v>
      </c>
      <c r="C27" s="11">
        <v>3882</v>
      </c>
      <c r="D27" s="2"/>
      <c r="E27" s="11">
        <v>1005.5</v>
      </c>
      <c r="F27"/>
      <c r="G27" s="39">
        <f>C27-E27</f>
        <v>2876.5</v>
      </c>
      <c r="I27" s="11">
        <f>E27</f>
        <v>1005.5</v>
      </c>
      <c r="J27" s="31"/>
      <c r="L27" s="39">
        <v>906</v>
      </c>
      <c r="N27" s="39">
        <f>I27-L27</f>
        <v>99.5</v>
      </c>
      <c r="O27" s="42" t="s">
        <v>44</v>
      </c>
    </row>
    <row r="28" spans="2:15">
      <c r="B28" s="10" t="s">
        <v>12</v>
      </c>
      <c r="C28" s="11">
        <v>7208</v>
      </c>
      <c r="D28" s="2"/>
      <c r="E28" s="11">
        <v>1116.6847499999999</v>
      </c>
      <c r="F28"/>
      <c r="G28" s="39">
        <f t="shared" ref="G28:G37" si="3">C28-E28</f>
        <v>6091.3152499999997</v>
      </c>
      <c r="I28" s="39">
        <f>E28</f>
        <v>1116.6847499999999</v>
      </c>
      <c r="J28" s="31"/>
      <c r="L28" s="39">
        <v>1059</v>
      </c>
      <c r="N28" s="39">
        <f t="shared" ref="N28:N37" si="4">I28-L28</f>
        <v>57.684749999999894</v>
      </c>
      <c r="O28" s="42" t="s">
        <v>44</v>
      </c>
    </row>
    <row r="29" spans="2:15">
      <c r="B29" s="10" t="s">
        <v>13</v>
      </c>
      <c r="C29" s="11">
        <v>2900</v>
      </c>
      <c r="D29" s="2"/>
      <c r="E29" s="11">
        <v>2899.2422799999999</v>
      </c>
      <c r="F29"/>
      <c r="G29" s="39">
        <f t="shared" si="3"/>
        <v>0.75772000000006301</v>
      </c>
      <c r="I29" s="11">
        <f t="shared" ref="I29:I37" si="5">E29</f>
        <v>2899.2422799999999</v>
      </c>
      <c r="J29" s="32"/>
      <c r="L29" s="39">
        <v>2900</v>
      </c>
      <c r="N29" s="39">
        <f t="shared" si="4"/>
        <v>-0.75772000000006301</v>
      </c>
      <c r="O29" s="42"/>
    </row>
    <row r="30" spans="2:15">
      <c r="B30" s="10" t="s">
        <v>14</v>
      </c>
      <c r="C30" s="11">
        <v>476050</v>
      </c>
      <c r="D30" s="2"/>
      <c r="E30" s="11">
        <v>456381.16163999896</v>
      </c>
      <c r="F30"/>
      <c r="G30" s="39">
        <f t="shared" si="3"/>
        <v>19668.838360001042</v>
      </c>
      <c r="I30" s="39">
        <f>E30+20000</f>
        <v>476381.16163999896</v>
      </c>
      <c r="J30" s="31" t="s">
        <v>34</v>
      </c>
      <c r="L30" s="39">
        <v>475850</v>
      </c>
      <c r="N30" s="39">
        <f t="shared" si="4"/>
        <v>531.16163999895798</v>
      </c>
      <c r="O30" s="42"/>
    </row>
    <row r="31" spans="2:15">
      <c r="B31" s="10" t="s">
        <v>15</v>
      </c>
      <c r="C31" s="11">
        <v>1150</v>
      </c>
      <c r="D31" s="2"/>
      <c r="E31" s="11">
        <v>953.54756000000009</v>
      </c>
      <c r="F31"/>
      <c r="G31" s="39">
        <f t="shared" si="3"/>
        <v>196.45243999999991</v>
      </c>
      <c r="I31" s="39">
        <f t="shared" si="5"/>
        <v>953.54756000000009</v>
      </c>
      <c r="J31" s="32"/>
      <c r="L31" s="39">
        <v>910</v>
      </c>
      <c r="N31" s="39">
        <f t="shared" si="4"/>
        <v>43.54756000000009</v>
      </c>
      <c r="O31" s="42"/>
    </row>
    <row r="32" spans="2:15">
      <c r="B32" s="10" t="s">
        <v>16</v>
      </c>
      <c r="C32" s="39">
        <v>66340</v>
      </c>
      <c r="D32" s="2"/>
      <c r="E32" s="11">
        <v>9251.4978300000002</v>
      </c>
      <c r="F32"/>
      <c r="G32" s="39">
        <f t="shared" si="3"/>
        <v>57088.50217</v>
      </c>
      <c r="I32" s="39">
        <f t="shared" si="5"/>
        <v>9251.4978300000002</v>
      </c>
      <c r="J32" s="31" t="s">
        <v>31</v>
      </c>
      <c r="L32" s="39">
        <v>8274</v>
      </c>
      <c r="N32" s="39">
        <f t="shared" si="4"/>
        <v>977.49783000000025</v>
      </c>
      <c r="O32" s="42" t="s">
        <v>108</v>
      </c>
    </row>
    <row r="33" spans="2:15">
      <c r="B33" s="10" t="s">
        <v>18</v>
      </c>
      <c r="C33" s="11">
        <v>2430</v>
      </c>
      <c r="D33" s="2"/>
      <c r="E33" s="11">
        <v>2428</v>
      </c>
      <c r="F33"/>
      <c r="G33" s="11">
        <f t="shared" si="3"/>
        <v>2</v>
      </c>
      <c r="I33" s="39">
        <f t="shared" si="5"/>
        <v>2428</v>
      </c>
      <c r="J33" s="32"/>
      <c r="L33" s="11">
        <v>2322</v>
      </c>
      <c r="N33" s="39">
        <f t="shared" si="4"/>
        <v>106</v>
      </c>
      <c r="O33" s="42"/>
    </row>
    <row r="34" spans="2:15">
      <c r="B34" s="10" t="s">
        <v>19</v>
      </c>
      <c r="C34" s="11">
        <v>28770</v>
      </c>
      <c r="D34" s="2"/>
      <c r="E34" s="11">
        <v>28769.615129999998</v>
      </c>
      <c r="F34"/>
      <c r="G34" s="11">
        <f t="shared" si="3"/>
        <v>0.38487000000168337</v>
      </c>
      <c r="I34" s="39">
        <f>E34+10000+5000</f>
        <v>43769.615129999998</v>
      </c>
      <c r="J34" s="31" t="s">
        <v>35</v>
      </c>
      <c r="L34" s="11">
        <v>33870</v>
      </c>
      <c r="N34" s="39">
        <f t="shared" si="4"/>
        <v>9899.6151299999983</v>
      </c>
      <c r="O34" s="42" t="s">
        <v>98</v>
      </c>
    </row>
    <row r="35" spans="2:15">
      <c r="B35" s="10" t="s">
        <v>20</v>
      </c>
      <c r="C35" s="11">
        <v>773780</v>
      </c>
      <c r="D35" s="2"/>
      <c r="E35" s="11">
        <v>795817.97634333302</v>
      </c>
      <c r="F35"/>
      <c r="G35" s="11">
        <f t="shared" si="3"/>
        <v>-22037.976343333023</v>
      </c>
      <c r="I35" s="39">
        <f t="shared" si="5"/>
        <v>795817.97634333302</v>
      </c>
      <c r="J35" s="31"/>
      <c r="L35" s="11">
        <v>754536</v>
      </c>
      <c r="N35" s="39">
        <f t="shared" si="4"/>
        <v>41281.976343333023</v>
      </c>
      <c r="O35" s="42" t="s">
        <v>99</v>
      </c>
    </row>
    <row r="36" spans="2:15">
      <c r="B36" s="10" t="s">
        <v>21</v>
      </c>
      <c r="C36" s="11">
        <v>174950</v>
      </c>
      <c r="D36" s="2"/>
      <c r="E36" s="11">
        <v>173491.753288042</v>
      </c>
      <c r="F36"/>
      <c r="G36" s="11">
        <f t="shared" si="3"/>
        <v>1458.246711957996</v>
      </c>
      <c r="I36" s="11">
        <f t="shared" si="5"/>
        <v>173491.753288042</v>
      </c>
      <c r="J36" s="31"/>
      <c r="L36" s="11">
        <v>164908</v>
      </c>
      <c r="N36" s="46">
        <f t="shared" si="4"/>
        <v>8583.753288042004</v>
      </c>
      <c r="O36" s="42" t="s">
        <v>45</v>
      </c>
    </row>
    <row r="37" spans="2:15">
      <c r="B37" s="22" t="s">
        <v>22</v>
      </c>
      <c r="C37" s="11">
        <v>3700</v>
      </c>
      <c r="D37" s="2"/>
      <c r="E37" s="11">
        <v>3699.6898799999999</v>
      </c>
      <c r="F37"/>
      <c r="G37" s="11">
        <f t="shared" si="3"/>
        <v>0.31012000000009721</v>
      </c>
      <c r="I37" s="11">
        <f t="shared" si="5"/>
        <v>3699.6898799999999</v>
      </c>
      <c r="J37" s="32"/>
      <c r="L37" s="39">
        <v>2700</v>
      </c>
      <c r="N37" s="39">
        <f t="shared" si="4"/>
        <v>999.6898799999999</v>
      </c>
      <c r="O37" s="42" t="s">
        <v>107</v>
      </c>
    </row>
    <row r="38" spans="2:15">
      <c r="B38" s="20" t="s">
        <v>102</v>
      </c>
      <c r="C38" s="16">
        <f>SUM(C27:C37)</f>
        <v>1541160</v>
      </c>
      <c r="D38" s="21"/>
      <c r="E38" s="16">
        <f>SUM(E27:E37)</f>
        <v>1475814.668701374</v>
      </c>
      <c r="F38" s="23"/>
      <c r="G38" s="16">
        <f>SUM(G27:G37)</f>
        <v>65345.331298626021</v>
      </c>
      <c r="I38" s="16">
        <f>SUM(I27:I37)</f>
        <v>1510814.668701374</v>
      </c>
      <c r="J38" s="33"/>
      <c r="L38" s="16">
        <f>SUM(L27:L37)</f>
        <v>1448235</v>
      </c>
      <c r="N38" s="16">
        <f>SUM(N27:N37)</f>
        <v>62579.668701373979</v>
      </c>
      <c r="O38" s="42"/>
    </row>
    <row r="39" spans="2:15" ht="55.2">
      <c r="B39" s="24" t="s">
        <v>24</v>
      </c>
      <c r="C39" s="7" t="str">
        <f>C5</f>
        <v>Tilldelning 2020</v>
      </c>
      <c r="D39" s="21"/>
      <c r="E39" s="7" t="str">
        <f>E5</f>
        <v>Prognos 27 mars</v>
      </c>
      <c r="F39" s="23"/>
      <c r="G39" s="7" t="str">
        <f>G5</f>
        <v>Skillnad tilldelning / prognos</v>
      </c>
      <c r="I39" s="7" t="s">
        <v>96</v>
      </c>
      <c r="J39" s="35"/>
      <c r="L39" s="7" t="str">
        <f>L5</f>
        <v>Prognos 13 maj</v>
      </c>
      <c r="N39" s="7" t="s">
        <v>97</v>
      </c>
      <c r="O39" s="42"/>
    </row>
    <row r="40" spans="2:15">
      <c r="B40" s="10" t="s">
        <v>25</v>
      </c>
      <c r="C40" s="25">
        <f>-260111-2180</f>
        <v>-262291</v>
      </c>
      <c r="D40" s="21"/>
      <c r="E40" s="26">
        <v>-272702.09087999316</v>
      </c>
      <c r="F40" s="23"/>
      <c r="G40" s="26">
        <f>C40-E40</f>
        <v>10411.090879993164</v>
      </c>
      <c r="I40" s="26">
        <f>E40+55000</f>
        <v>-217702.09087999316</v>
      </c>
      <c r="J40" s="36" t="s">
        <v>39</v>
      </c>
      <c r="L40" s="26">
        <v>-211821</v>
      </c>
      <c r="N40" s="26">
        <f>I40-L40</f>
        <v>-5881.090879993164</v>
      </c>
      <c r="O40" s="42" t="s">
        <v>103</v>
      </c>
    </row>
    <row r="41" spans="2:15">
      <c r="B41" s="10" t="s">
        <v>26</v>
      </c>
      <c r="C41" s="25">
        <v>247694</v>
      </c>
      <c r="D41" s="21"/>
      <c r="E41" s="26">
        <v>291000.61072000198</v>
      </c>
      <c r="F41" s="23"/>
      <c r="G41" s="26">
        <f t="shared" ref="G41:G42" si="6">C41-E41</f>
        <v>-43306.610720001976</v>
      </c>
      <c r="I41" s="26">
        <f t="shared" ref="I41" si="7">E41</f>
        <v>291000.61072000198</v>
      </c>
      <c r="J41" s="36"/>
      <c r="L41" s="26">
        <v>292014</v>
      </c>
      <c r="N41" s="26">
        <f t="shared" ref="N41:N42" si="8">I41-L41</f>
        <v>-1013.389279998024</v>
      </c>
      <c r="O41" s="42"/>
    </row>
    <row r="42" spans="2:15">
      <c r="B42" s="10" t="s">
        <v>27</v>
      </c>
      <c r="C42" s="25">
        <v>177000</v>
      </c>
      <c r="D42" s="21"/>
      <c r="E42" s="26">
        <v>177000</v>
      </c>
      <c r="F42" s="23"/>
      <c r="G42" s="26">
        <f t="shared" si="6"/>
        <v>0</v>
      </c>
      <c r="I42" s="26">
        <f>E42-105000-57000-10000+23000+61341</f>
        <v>89341</v>
      </c>
      <c r="J42" s="36"/>
      <c r="L42" s="26">
        <v>89341</v>
      </c>
      <c r="N42" s="26">
        <f t="shared" si="8"/>
        <v>0</v>
      </c>
      <c r="O42" s="42"/>
    </row>
    <row r="43" spans="2:15">
      <c r="B43" s="20" t="s">
        <v>102</v>
      </c>
      <c r="C43" s="16">
        <f>SUM(C40:C42)</f>
        <v>162403</v>
      </c>
      <c r="D43" s="21"/>
      <c r="E43" s="16">
        <f>SUM(E40:E42)</f>
        <v>195298.51984000881</v>
      </c>
      <c r="F43"/>
      <c r="G43" s="16">
        <f>SUM(G40:G42)</f>
        <v>-32895.519840008812</v>
      </c>
      <c r="I43" s="16">
        <f>SUM(I40:I42)</f>
        <v>162639.51984000881</v>
      </c>
      <c r="J43" s="33"/>
      <c r="L43" s="16">
        <f>SUM(L40:L42)</f>
        <v>169534</v>
      </c>
      <c r="N43" s="16">
        <f>SUM(N40:N42)</f>
        <v>-6894.480159991188</v>
      </c>
      <c r="O43" s="42"/>
    </row>
    <row r="44" spans="2:15">
      <c r="B44" s="27" t="s">
        <v>28</v>
      </c>
      <c r="C44" s="28">
        <f>C25+C38+C43</f>
        <v>7599000</v>
      </c>
      <c r="D44" s="2"/>
      <c r="E44" s="28">
        <f>E25+E38+E43</f>
        <v>7717054.1148360819</v>
      </c>
      <c r="F44"/>
      <c r="G44" s="28">
        <f>G25+G38+G43</f>
        <v>-118055.11483608058</v>
      </c>
      <c r="I44" s="28">
        <f>I25+I38+I43</f>
        <v>7974395.1148360819</v>
      </c>
      <c r="J44" s="37"/>
      <c r="L44" s="28">
        <f>L25+L38+L43</f>
        <v>7923280.0233864784</v>
      </c>
      <c r="N44" s="28">
        <f>N25+N38+N43</f>
        <v>51115.091449602645</v>
      </c>
      <c r="O44" s="42"/>
    </row>
    <row r="45" spans="2:15">
      <c r="G45" s="29"/>
      <c r="L45" s="29"/>
      <c r="N45" s="29"/>
    </row>
    <row r="46" spans="2:15">
      <c r="B46" s="44"/>
      <c r="C46" s="43"/>
    </row>
    <row r="47" spans="2:15">
      <c r="B47" s="45"/>
      <c r="C47" s="43"/>
    </row>
    <row r="48" spans="2:15">
      <c r="B48" s="45"/>
      <c r="C48" s="4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B314-4404-43C7-AD7B-D88DEB19D9BF}">
  <dimension ref="B2:P48"/>
  <sheetViews>
    <sheetView workbookViewId="0"/>
  </sheetViews>
  <sheetFormatPr defaultColWidth="8.88671875" defaultRowHeight="14.4"/>
  <cols>
    <col min="1" max="1" width="2.5546875" style="3" customWidth="1"/>
    <col min="2" max="2" width="33.5546875" style="3" customWidth="1"/>
    <col min="3" max="3" width="12.109375" style="3" customWidth="1"/>
    <col min="4" max="4" width="5.5546875" style="3" customWidth="1"/>
    <col min="5" max="5" width="12.109375" style="3" customWidth="1"/>
    <col min="6" max="6" width="5.109375" style="3" customWidth="1"/>
    <col min="7" max="7" width="12.109375" style="3" customWidth="1"/>
    <col min="8" max="8" width="4.88671875" style="3" customWidth="1"/>
    <col min="9" max="9" width="12.44140625" style="3" customWidth="1"/>
    <col min="10" max="10" width="21.44140625" style="3" hidden="1" customWidth="1"/>
    <col min="11" max="11" width="5.44140625" style="3" customWidth="1"/>
    <col min="12" max="12" width="12.109375" style="3" customWidth="1"/>
    <col min="13" max="13" width="4.109375" style="3" customWidth="1"/>
    <col min="14" max="15" width="12.109375" style="3" customWidth="1"/>
    <col min="16" max="16" width="11.5546875" style="3" customWidth="1"/>
    <col min="17" max="16384" width="8.88671875" style="3"/>
  </cols>
  <sheetData>
    <row r="2" spans="2:16" ht="22.8">
      <c r="B2" s="1" t="s">
        <v>0</v>
      </c>
      <c r="C2"/>
      <c r="D2" s="2"/>
      <c r="E2"/>
      <c r="F2"/>
      <c r="G2"/>
      <c r="L2"/>
      <c r="N2"/>
      <c r="O2"/>
    </row>
    <row r="3" spans="2:16">
      <c r="B3" s="4"/>
      <c r="C3" s="5"/>
      <c r="D3" s="2"/>
      <c r="E3"/>
      <c r="F3"/>
      <c r="G3"/>
      <c r="L3"/>
      <c r="N3"/>
      <c r="O3"/>
    </row>
    <row r="4" spans="2:16" ht="24.6" customHeight="1">
      <c r="B4" s="4"/>
      <c r="C4" s="5" t="s">
        <v>1</v>
      </c>
      <c r="D4" s="2"/>
      <c r="E4"/>
      <c r="F4"/>
      <c r="G4"/>
      <c r="I4" s="41" t="s">
        <v>33</v>
      </c>
      <c r="L4"/>
      <c r="N4"/>
      <c r="O4"/>
    </row>
    <row r="5" spans="2:16" ht="41.4">
      <c r="B5" s="6" t="s">
        <v>2</v>
      </c>
      <c r="C5" s="7" t="s">
        <v>3</v>
      </c>
      <c r="D5" s="8"/>
      <c r="E5" s="7" t="s">
        <v>4</v>
      </c>
      <c r="F5" s="9"/>
      <c r="G5" s="7" t="s">
        <v>5</v>
      </c>
      <c r="I5" s="7" t="s">
        <v>2</v>
      </c>
      <c r="J5" s="7" t="s">
        <v>29</v>
      </c>
      <c r="L5" s="7" t="s">
        <v>43</v>
      </c>
      <c r="N5" s="7"/>
      <c r="O5" s="62"/>
      <c r="P5" s="42" t="s">
        <v>29</v>
      </c>
    </row>
    <row r="6" spans="2:16">
      <c r="B6" s="10" t="s">
        <v>6</v>
      </c>
      <c r="C6" s="11">
        <v>7272000</v>
      </c>
      <c r="D6" s="2"/>
      <c r="E6" s="11"/>
      <c r="F6"/>
      <c r="G6" s="11"/>
      <c r="I6" s="11">
        <f>C6-49000</f>
        <v>7223000</v>
      </c>
      <c r="J6" s="31" t="s">
        <v>38</v>
      </c>
      <c r="L6" s="11"/>
      <c r="N6" s="11"/>
      <c r="O6" s="63"/>
    </row>
    <row r="7" spans="2:16">
      <c r="B7" s="10" t="s">
        <v>32</v>
      </c>
      <c r="C7" s="11"/>
      <c r="D7" s="2"/>
      <c r="E7" s="11"/>
      <c r="F7"/>
      <c r="G7" s="11"/>
      <c r="I7" s="11">
        <v>330000</v>
      </c>
      <c r="J7" s="31" t="s">
        <v>41</v>
      </c>
      <c r="L7" s="11"/>
      <c r="N7" s="11"/>
      <c r="O7" s="63"/>
    </row>
    <row r="8" spans="2:16">
      <c r="B8" s="10" t="s">
        <v>7</v>
      </c>
      <c r="C8" s="11">
        <v>0</v>
      </c>
      <c r="D8" s="2"/>
      <c r="E8" s="12"/>
      <c r="F8"/>
      <c r="G8" s="13"/>
      <c r="I8" s="12">
        <v>78000</v>
      </c>
      <c r="J8" s="30" t="s">
        <v>30</v>
      </c>
      <c r="L8" s="13"/>
      <c r="N8" s="13"/>
      <c r="O8" s="64"/>
    </row>
    <row r="9" spans="2:16">
      <c r="B9" s="14" t="s">
        <v>8</v>
      </c>
      <c r="C9" s="11">
        <f>167000+160000</f>
        <v>327000</v>
      </c>
      <c r="D9" s="2"/>
      <c r="E9" s="12"/>
      <c r="F9"/>
      <c r="G9" s="13"/>
      <c r="I9" s="12">
        <v>343395</v>
      </c>
      <c r="J9" s="40" t="s">
        <v>42</v>
      </c>
      <c r="L9" s="13"/>
      <c r="N9" s="13"/>
      <c r="O9" s="64"/>
    </row>
    <row r="10" spans="2:16">
      <c r="B10" s="15" t="s">
        <v>9</v>
      </c>
      <c r="C10" s="16">
        <f>SUM(C6:C9)</f>
        <v>7599000</v>
      </c>
      <c r="D10" s="2"/>
      <c r="E10" s="16">
        <f>SUM(E6:E9)</f>
        <v>0</v>
      </c>
      <c r="F10"/>
      <c r="G10" s="16">
        <f>SUM(G6:G9)</f>
        <v>0</v>
      </c>
      <c r="I10" s="16">
        <f>SUM(I6:I9)</f>
        <v>7974395</v>
      </c>
      <c r="J10" s="33"/>
      <c r="L10" s="16">
        <f>SUM(L6:L9)</f>
        <v>0</v>
      </c>
      <c r="N10" s="16">
        <f>C10-I10</f>
        <v>-375395</v>
      </c>
      <c r="O10" s="65"/>
    </row>
    <row r="11" spans="2:16">
      <c r="B11"/>
      <c r="C11" s="17"/>
      <c r="D11" s="2"/>
      <c r="E11" s="17"/>
      <c r="F11"/>
      <c r="G11" s="17"/>
      <c r="I11" s="17"/>
      <c r="J11" s="34"/>
      <c r="L11" s="17"/>
      <c r="N11" s="17"/>
      <c r="O11" s="17"/>
    </row>
    <row r="12" spans="2:16" ht="69">
      <c r="B12" s="18" t="s">
        <v>10</v>
      </c>
      <c r="C12" s="7" t="str">
        <f>C5</f>
        <v>Tilldelning 2020</v>
      </c>
      <c r="D12" s="2"/>
      <c r="E12" s="7" t="str">
        <f>E5</f>
        <v>Prognos 27 mars</v>
      </c>
      <c r="F12"/>
      <c r="G12" s="7" t="str">
        <f>G5</f>
        <v>Skillnad tilldelning / prognos</v>
      </c>
      <c r="I12" s="7" t="s">
        <v>96</v>
      </c>
      <c r="J12" s="35" t="s">
        <v>29</v>
      </c>
      <c r="L12" s="7" t="str">
        <f>L5</f>
        <v>Prognos 13 maj</v>
      </c>
      <c r="N12" s="7" t="s">
        <v>97</v>
      </c>
      <c r="O12" s="68" t="s">
        <v>105</v>
      </c>
    </row>
    <row r="13" spans="2:16">
      <c r="B13" s="10" t="s">
        <v>11</v>
      </c>
      <c r="C13" s="11">
        <v>959000</v>
      </c>
      <c r="D13" s="2"/>
      <c r="E13" s="11">
        <v>1016015.1144749901</v>
      </c>
      <c r="F13"/>
      <c r="G13" s="11">
        <f>C13-E13</f>
        <v>-57015.114474990056</v>
      </c>
      <c r="I13" s="39">
        <f>E13</f>
        <v>1016015.1144749901</v>
      </c>
      <c r="J13" s="31" t="s">
        <v>36</v>
      </c>
      <c r="L13" s="11">
        <v>1016015</v>
      </c>
      <c r="N13" s="11">
        <f>I13-L13</f>
        <v>0.11447499005589634</v>
      </c>
      <c r="O13" s="63">
        <f>C13-L13</f>
        <v>-57015</v>
      </c>
      <c r="P13" s="42" t="s">
        <v>100</v>
      </c>
    </row>
    <row r="14" spans="2:16">
      <c r="B14" s="10" t="s">
        <v>12</v>
      </c>
      <c r="C14" s="11">
        <v>1867000</v>
      </c>
      <c r="D14" s="2"/>
      <c r="E14" s="12">
        <v>1972572.8526334509</v>
      </c>
      <c r="F14" s="19"/>
      <c r="G14" s="11">
        <f t="shared" ref="G14:G24" si="0">C14-E14</f>
        <v>-105572.85263345088</v>
      </c>
      <c r="I14" s="39">
        <f>E14+30000</f>
        <v>2002572.8526334509</v>
      </c>
      <c r="J14" s="31" t="s">
        <v>37</v>
      </c>
      <c r="L14" s="11">
        <v>2002573</v>
      </c>
      <c r="N14" s="11">
        <f t="shared" ref="N14:N24" si="1">I14-L14</f>
        <v>-0.14736654912121594</v>
      </c>
      <c r="O14" s="63">
        <f t="shared" ref="O14:O24" si="2">C14-L14</f>
        <v>-135573</v>
      </c>
      <c r="P14" s="42" t="s">
        <v>101</v>
      </c>
    </row>
    <row r="15" spans="2:16">
      <c r="B15" s="10" t="s">
        <v>13</v>
      </c>
      <c r="C15" s="11">
        <v>1505152</v>
      </c>
      <c r="D15" s="2"/>
      <c r="E15" s="11">
        <v>1485150.9432272019</v>
      </c>
      <c r="F15"/>
      <c r="G15" s="11">
        <f>C15-E15-1</f>
        <v>20000.056772798067</v>
      </c>
      <c r="I15" s="39">
        <f>E15+225000</f>
        <v>1710150.9432272019</v>
      </c>
      <c r="J15" s="31" t="s">
        <v>40</v>
      </c>
      <c r="L15" s="11">
        <v>1708651</v>
      </c>
      <c r="N15" s="11">
        <f t="shared" si="1"/>
        <v>1499.943227201933</v>
      </c>
      <c r="O15" s="63">
        <f t="shared" si="2"/>
        <v>-203499</v>
      </c>
      <c r="P15" s="42" t="s">
        <v>109</v>
      </c>
    </row>
    <row r="16" spans="2:16">
      <c r="B16" s="10" t="s">
        <v>14</v>
      </c>
      <c r="C16" s="11">
        <v>812697</v>
      </c>
      <c r="D16" s="2"/>
      <c r="E16" s="11">
        <v>831475.02338647796</v>
      </c>
      <c r="F16"/>
      <c r="G16" s="11">
        <f t="shared" si="0"/>
        <v>-18778.023386477958</v>
      </c>
      <c r="I16" s="39">
        <f>E16</f>
        <v>831475.02338647796</v>
      </c>
      <c r="J16" s="31"/>
      <c r="L16" s="11">
        <f>I16</f>
        <v>831475.02338647796</v>
      </c>
      <c r="N16" s="11">
        <f t="shared" si="1"/>
        <v>0</v>
      </c>
      <c r="O16" s="63">
        <f t="shared" si="2"/>
        <v>-18778.023386477958</v>
      </c>
      <c r="P16" s="42"/>
    </row>
    <row r="17" spans="2:16">
      <c r="B17" s="10" t="s">
        <v>15</v>
      </c>
      <c r="C17" s="11">
        <v>40796</v>
      </c>
      <c r="D17" s="2"/>
      <c r="E17" s="11">
        <v>40517.937290253998</v>
      </c>
      <c r="F17"/>
      <c r="G17" s="11">
        <f t="shared" si="0"/>
        <v>278.06270974600193</v>
      </c>
      <c r="I17" s="11">
        <f t="shared" ref="I17:I24" si="3">E17</f>
        <v>40517.937290253998</v>
      </c>
      <c r="J17" s="32"/>
      <c r="L17" s="11">
        <v>38834</v>
      </c>
      <c r="N17" s="11">
        <f t="shared" si="1"/>
        <v>1683.9372902539981</v>
      </c>
      <c r="O17" s="63">
        <f t="shared" si="2"/>
        <v>1962</v>
      </c>
      <c r="P17" s="42"/>
    </row>
    <row r="18" spans="2:16">
      <c r="B18" s="10" t="s">
        <v>16</v>
      </c>
      <c r="C18" s="11">
        <v>4140</v>
      </c>
      <c r="D18" s="2"/>
      <c r="E18" s="11">
        <v>3840.4760447940002</v>
      </c>
      <c r="F18"/>
      <c r="G18" s="11">
        <f t="shared" si="0"/>
        <v>299.52395520599975</v>
      </c>
      <c r="I18" s="11">
        <f t="shared" si="3"/>
        <v>3840.4760447940002</v>
      </c>
      <c r="J18" s="32"/>
      <c r="L18" s="11">
        <v>3915</v>
      </c>
      <c r="N18" s="11">
        <f t="shared" si="1"/>
        <v>-74.523955205999755</v>
      </c>
      <c r="O18" s="63">
        <f t="shared" si="2"/>
        <v>225</v>
      </c>
      <c r="P18" s="42"/>
    </row>
    <row r="19" spans="2:16">
      <c r="B19" s="10" t="s">
        <v>17</v>
      </c>
      <c r="C19" s="11">
        <v>9290</v>
      </c>
      <c r="D19" s="2"/>
      <c r="E19" s="11">
        <v>9289.8669374189994</v>
      </c>
      <c r="F19"/>
      <c r="G19" s="11">
        <f t="shared" si="0"/>
        <v>0.13306258100055857</v>
      </c>
      <c r="I19" s="11">
        <f t="shared" si="3"/>
        <v>9289.8669374189994</v>
      </c>
      <c r="J19" s="32"/>
      <c r="L19" s="11">
        <v>9290</v>
      </c>
      <c r="N19" s="11">
        <f t="shared" si="1"/>
        <v>-0.13306258100055857</v>
      </c>
      <c r="O19" s="63">
        <f t="shared" si="2"/>
        <v>0</v>
      </c>
      <c r="P19" s="42"/>
    </row>
    <row r="20" spans="2:16">
      <c r="B20" s="10" t="s">
        <v>18</v>
      </c>
      <c r="C20" s="11">
        <v>60700</v>
      </c>
      <c r="D20" s="2"/>
      <c r="E20" s="11">
        <v>61021.232832362999</v>
      </c>
      <c r="F20"/>
      <c r="G20" s="11">
        <f t="shared" si="0"/>
        <v>-321.23283236299903</v>
      </c>
      <c r="I20" s="11">
        <f t="shared" si="3"/>
        <v>61021.232832362999</v>
      </c>
      <c r="J20" s="32"/>
      <c r="L20" s="11">
        <v>60027</v>
      </c>
      <c r="N20" s="39">
        <f t="shared" si="1"/>
        <v>994.23283236299903</v>
      </c>
      <c r="O20" s="63">
        <f t="shared" si="2"/>
        <v>673</v>
      </c>
      <c r="P20" s="42"/>
    </row>
    <row r="21" spans="2:16">
      <c r="B21" s="10" t="s">
        <v>19</v>
      </c>
      <c r="C21" s="11">
        <v>64711</v>
      </c>
      <c r="D21" s="2"/>
      <c r="E21" s="11">
        <v>64710.984179116</v>
      </c>
      <c r="F21"/>
      <c r="G21" s="11">
        <f t="shared" si="0"/>
        <v>1.5820884000277147E-2</v>
      </c>
      <c r="I21" s="11">
        <f t="shared" si="3"/>
        <v>64710.984179116</v>
      </c>
      <c r="J21" s="32"/>
      <c r="L21" s="11">
        <v>69711</v>
      </c>
      <c r="N21" s="11">
        <f t="shared" si="1"/>
        <v>-5000.0158208840003</v>
      </c>
      <c r="O21" s="63">
        <f t="shared" si="2"/>
        <v>-5000</v>
      </c>
      <c r="P21" s="42" t="s">
        <v>46</v>
      </c>
    </row>
    <row r="22" spans="2:16">
      <c r="B22" s="10" t="s">
        <v>20</v>
      </c>
      <c r="C22" s="11">
        <v>334382</v>
      </c>
      <c r="D22" s="2"/>
      <c r="E22" s="11">
        <v>324419.24667014799</v>
      </c>
      <c r="F22"/>
      <c r="G22" s="11">
        <f t="shared" si="0"/>
        <v>9962.7533298520138</v>
      </c>
      <c r="I22" s="11">
        <f t="shared" si="3"/>
        <v>324419.24667014799</v>
      </c>
      <c r="J22" s="38"/>
      <c r="L22" s="11">
        <v>320983</v>
      </c>
      <c r="N22" s="11">
        <f t="shared" si="1"/>
        <v>3436.2466701479862</v>
      </c>
      <c r="O22" s="63">
        <f t="shared" si="2"/>
        <v>13399</v>
      </c>
      <c r="P22" s="42" t="s">
        <v>110</v>
      </c>
    </row>
    <row r="23" spans="2:16">
      <c r="B23" s="10" t="s">
        <v>21</v>
      </c>
      <c r="C23" s="11">
        <v>139569</v>
      </c>
      <c r="D23" s="2"/>
      <c r="E23" s="11">
        <v>139015.585251763</v>
      </c>
      <c r="F23"/>
      <c r="G23" s="11">
        <f t="shared" si="0"/>
        <v>553.41474823700264</v>
      </c>
      <c r="I23" s="11">
        <f t="shared" si="3"/>
        <v>139015.585251763</v>
      </c>
      <c r="J23" s="32"/>
      <c r="L23" s="11">
        <v>145611</v>
      </c>
      <c r="N23" s="46">
        <f t="shared" si="1"/>
        <v>-6595.4147482370026</v>
      </c>
      <c r="O23" s="63">
        <f t="shared" si="2"/>
        <v>-6042</v>
      </c>
      <c r="P23" s="42" t="s">
        <v>104</v>
      </c>
    </row>
    <row r="24" spans="2:16">
      <c r="B24" s="10" t="s">
        <v>22</v>
      </c>
      <c r="C24" s="11">
        <v>98000</v>
      </c>
      <c r="D24" s="2"/>
      <c r="E24" s="11">
        <v>97911.663366720008</v>
      </c>
      <c r="F24"/>
      <c r="G24" s="11">
        <f t="shared" si="0"/>
        <v>88.336633279992384</v>
      </c>
      <c r="I24" s="11">
        <f t="shared" si="3"/>
        <v>97911.663366720008</v>
      </c>
      <c r="J24" s="32"/>
      <c r="L24" s="11">
        <v>98426</v>
      </c>
      <c r="N24" s="11">
        <f t="shared" si="1"/>
        <v>-514.33663327999238</v>
      </c>
      <c r="O24" s="63">
        <f t="shared" si="2"/>
        <v>-426</v>
      </c>
      <c r="P24" s="42" t="s">
        <v>106</v>
      </c>
    </row>
    <row r="25" spans="2:16">
      <c r="B25" s="20" t="s">
        <v>102</v>
      </c>
      <c r="C25" s="16">
        <f>SUM(C13:C24)</f>
        <v>5895437</v>
      </c>
      <c r="D25" s="21"/>
      <c r="E25" s="16">
        <f>SUM(E13:E24)</f>
        <v>6045940.9262946993</v>
      </c>
      <c r="F25"/>
      <c r="G25" s="16">
        <f>SUM(G13:G24)</f>
        <v>-150504.9262946978</v>
      </c>
      <c r="I25" s="16">
        <f>SUM(I13:I24)</f>
        <v>6300940.9262946993</v>
      </c>
      <c r="J25" s="33"/>
      <c r="L25" s="16">
        <f>SUM(L13:L24)</f>
        <v>6305511.0233864784</v>
      </c>
      <c r="N25" s="16">
        <f>SUM(N13:N24)</f>
        <v>-4570.0970917801442</v>
      </c>
      <c r="O25" s="16">
        <f>SUM(O13:O24)</f>
        <v>-410074.02338647796</v>
      </c>
      <c r="P25" s="42"/>
    </row>
    <row r="26" spans="2:16" ht="69">
      <c r="B26" s="18" t="s">
        <v>23</v>
      </c>
      <c r="C26" s="7" t="str">
        <f>C5</f>
        <v>Tilldelning 2020</v>
      </c>
      <c r="D26" s="2"/>
      <c r="E26" s="7" t="str">
        <f>E5</f>
        <v>Prognos 27 mars</v>
      </c>
      <c r="F26"/>
      <c r="G26" s="7" t="str">
        <f>G5</f>
        <v>Skillnad tilldelning / prognos</v>
      </c>
      <c r="I26" s="7" t="s">
        <v>96</v>
      </c>
      <c r="J26" s="35"/>
      <c r="L26" s="7" t="str">
        <f>L5</f>
        <v>Prognos 13 maj</v>
      </c>
      <c r="N26" s="7" t="s">
        <v>97</v>
      </c>
      <c r="O26" s="69" t="s">
        <v>105</v>
      </c>
      <c r="P26" s="42"/>
    </row>
    <row r="27" spans="2:16">
      <c r="B27" s="10" t="s">
        <v>11</v>
      </c>
      <c r="C27" s="11">
        <v>3882</v>
      </c>
      <c r="D27" s="2"/>
      <c r="E27" s="11">
        <v>1005.5</v>
      </c>
      <c r="F27"/>
      <c r="G27" s="39">
        <f>C27-E27</f>
        <v>2876.5</v>
      </c>
      <c r="I27" s="11">
        <f>E27</f>
        <v>1005.5</v>
      </c>
      <c r="J27" s="31"/>
      <c r="L27" s="39">
        <v>906</v>
      </c>
      <c r="N27" s="39">
        <f>I27-L27</f>
        <v>99.5</v>
      </c>
      <c r="O27" s="66">
        <f>C27-L27</f>
        <v>2976</v>
      </c>
      <c r="P27" s="42" t="s">
        <v>44</v>
      </c>
    </row>
    <row r="28" spans="2:16">
      <c r="B28" s="10" t="s">
        <v>12</v>
      </c>
      <c r="C28" s="11">
        <v>7208</v>
      </c>
      <c r="D28" s="2"/>
      <c r="E28" s="11">
        <v>1116.6847499999999</v>
      </c>
      <c r="F28"/>
      <c r="G28" s="39">
        <f t="shared" ref="G28:G37" si="4">C28-E28</f>
        <v>6091.3152499999997</v>
      </c>
      <c r="I28" s="39">
        <f>E28</f>
        <v>1116.6847499999999</v>
      </c>
      <c r="J28" s="31"/>
      <c r="L28" s="39">
        <v>1059</v>
      </c>
      <c r="N28" s="39">
        <f t="shared" ref="N28:N37" si="5">I28-L28</f>
        <v>57.684749999999894</v>
      </c>
      <c r="O28" s="66">
        <f t="shared" ref="O28:O37" si="6">C28-L28</f>
        <v>6149</v>
      </c>
      <c r="P28" s="42" t="s">
        <v>44</v>
      </c>
    </row>
    <row r="29" spans="2:16">
      <c r="B29" s="10" t="s">
        <v>13</v>
      </c>
      <c r="C29" s="11">
        <v>2900</v>
      </c>
      <c r="D29" s="2"/>
      <c r="E29" s="11">
        <v>2899.2422799999999</v>
      </c>
      <c r="F29"/>
      <c r="G29" s="39">
        <f t="shared" si="4"/>
        <v>0.75772000000006301</v>
      </c>
      <c r="I29" s="11">
        <f t="shared" ref="I29:I37" si="7">E29</f>
        <v>2899.2422799999999</v>
      </c>
      <c r="J29" s="32"/>
      <c r="L29" s="39">
        <v>2900</v>
      </c>
      <c r="N29" s="39">
        <f t="shared" si="5"/>
        <v>-0.75772000000006301</v>
      </c>
      <c r="O29" s="66">
        <f t="shared" si="6"/>
        <v>0</v>
      </c>
      <c r="P29" s="42"/>
    </row>
    <row r="30" spans="2:16">
      <c r="B30" s="10" t="s">
        <v>14</v>
      </c>
      <c r="C30" s="11">
        <v>476050</v>
      </c>
      <c r="D30" s="2"/>
      <c r="E30" s="11">
        <v>456381.16163999896</v>
      </c>
      <c r="F30"/>
      <c r="G30" s="39">
        <f t="shared" si="4"/>
        <v>19668.838360001042</v>
      </c>
      <c r="I30" s="39">
        <f>E30+20000</f>
        <v>476381.16163999896</v>
      </c>
      <c r="J30" s="31" t="s">
        <v>34</v>
      </c>
      <c r="L30" s="39">
        <v>475850</v>
      </c>
      <c r="N30" s="39">
        <f t="shared" si="5"/>
        <v>531.16163999895798</v>
      </c>
      <c r="O30" s="66">
        <f t="shared" si="6"/>
        <v>200</v>
      </c>
      <c r="P30" s="42"/>
    </row>
    <row r="31" spans="2:16">
      <c r="B31" s="10" t="s">
        <v>15</v>
      </c>
      <c r="C31" s="11">
        <v>1150</v>
      </c>
      <c r="D31" s="2"/>
      <c r="E31" s="11">
        <v>953.54756000000009</v>
      </c>
      <c r="F31"/>
      <c r="G31" s="39">
        <f t="shared" si="4"/>
        <v>196.45243999999991</v>
      </c>
      <c r="I31" s="39">
        <f t="shared" si="7"/>
        <v>953.54756000000009</v>
      </c>
      <c r="J31" s="32"/>
      <c r="L31" s="39">
        <v>910</v>
      </c>
      <c r="N31" s="39">
        <f t="shared" si="5"/>
        <v>43.54756000000009</v>
      </c>
      <c r="O31" s="66">
        <f t="shared" si="6"/>
        <v>240</v>
      </c>
      <c r="P31" s="42"/>
    </row>
    <row r="32" spans="2:16">
      <c r="B32" s="10" t="s">
        <v>16</v>
      </c>
      <c r="C32" s="39">
        <v>66340</v>
      </c>
      <c r="D32" s="2"/>
      <c r="E32" s="11">
        <v>9251.4978300000002</v>
      </c>
      <c r="F32"/>
      <c r="G32" s="39">
        <f t="shared" si="4"/>
        <v>57088.50217</v>
      </c>
      <c r="I32" s="39">
        <f t="shared" si="7"/>
        <v>9251.4978300000002</v>
      </c>
      <c r="J32" s="31" t="s">
        <v>31</v>
      </c>
      <c r="L32" s="39">
        <v>8274</v>
      </c>
      <c r="N32" s="39">
        <f t="shared" si="5"/>
        <v>977.49783000000025</v>
      </c>
      <c r="O32" s="66">
        <f t="shared" si="6"/>
        <v>58066</v>
      </c>
      <c r="P32" s="42" t="s">
        <v>108</v>
      </c>
    </row>
    <row r="33" spans="2:16">
      <c r="B33" s="10" t="s">
        <v>18</v>
      </c>
      <c r="C33" s="11">
        <v>2430</v>
      </c>
      <c r="D33" s="2"/>
      <c r="E33" s="11">
        <v>2428</v>
      </c>
      <c r="F33"/>
      <c r="G33" s="11">
        <f t="shared" si="4"/>
        <v>2</v>
      </c>
      <c r="I33" s="39">
        <f t="shared" si="7"/>
        <v>2428</v>
      </c>
      <c r="J33" s="32"/>
      <c r="L33" s="11">
        <v>2322</v>
      </c>
      <c r="N33" s="39">
        <f t="shared" si="5"/>
        <v>106</v>
      </c>
      <c r="O33" s="66">
        <f t="shared" si="6"/>
        <v>108</v>
      </c>
      <c r="P33" s="42"/>
    </row>
    <row r="34" spans="2:16">
      <c r="B34" s="10" t="s">
        <v>19</v>
      </c>
      <c r="C34" s="11">
        <v>28770</v>
      </c>
      <c r="D34" s="2"/>
      <c r="E34" s="11">
        <v>28769.615129999998</v>
      </c>
      <c r="F34"/>
      <c r="G34" s="11">
        <f t="shared" si="4"/>
        <v>0.38487000000168337</v>
      </c>
      <c r="I34" s="39">
        <f>E34+10000+5000</f>
        <v>43769.615129999998</v>
      </c>
      <c r="J34" s="31" t="s">
        <v>35</v>
      </c>
      <c r="L34" s="11">
        <v>33870</v>
      </c>
      <c r="N34" s="39">
        <f t="shared" si="5"/>
        <v>9899.6151299999983</v>
      </c>
      <c r="O34" s="66">
        <f t="shared" si="6"/>
        <v>-5100</v>
      </c>
      <c r="P34" s="42" t="s">
        <v>98</v>
      </c>
    </row>
    <row r="35" spans="2:16">
      <c r="B35" s="10" t="s">
        <v>20</v>
      </c>
      <c r="C35" s="11">
        <v>773780</v>
      </c>
      <c r="D35" s="2"/>
      <c r="E35" s="11">
        <v>795817.97634333302</v>
      </c>
      <c r="F35"/>
      <c r="G35" s="11">
        <f t="shared" si="4"/>
        <v>-22037.976343333023</v>
      </c>
      <c r="I35" s="39">
        <f t="shared" si="7"/>
        <v>795817.97634333302</v>
      </c>
      <c r="J35" s="31"/>
      <c r="L35" s="11">
        <v>754536</v>
      </c>
      <c r="N35" s="39">
        <f t="shared" si="5"/>
        <v>41281.976343333023</v>
      </c>
      <c r="O35" s="66">
        <f t="shared" si="6"/>
        <v>19244</v>
      </c>
      <c r="P35" s="42" t="s">
        <v>99</v>
      </c>
    </row>
    <row r="36" spans="2:16">
      <c r="B36" s="10" t="s">
        <v>21</v>
      </c>
      <c r="C36" s="11">
        <v>174950</v>
      </c>
      <c r="D36" s="2"/>
      <c r="E36" s="11">
        <v>173491.753288042</v>
      </c>
      <c r="F36"/>
      <c r="G36" s="11">
        <f t="shared" si="4"/>
        <v>1458.246711957996</v>
      </c>
      <c r="I36" s="11">
        <f t="shared" si="7"/>
        <v>173491.753288042</v>
      </c>
      <c r="J36" s="31"/>
      <c r="L36" s="11">
        <v>164908</v>
      </c>
      <c r="N36" s="46">
        <f t="shared" si="5"/>
        <v>8583.753288042004</v>
      </c>
      <c r="O36" s="66">
        <f t="shared" si="6"/>
        <v>10042</v>
      </c>
      <c r="P36" s="42" t="s">
        <v>45</v>
      </c>
    </row>
    <row r="37" spans="2:16">
      <c r="B37" s="22" t="s">
        <v>22</v>
      </c>
      <c r="C37" s="11">
        <v>3700</v>
      </c>
      <c r="D37" s="2"/>
      <c r="E37" s="11">
        <v>3699.6898799999999</v>
      </c>
      <c r="F37"/>
      <c r="G37" s="11">
        <f t="shared" si="4"/>
        <v>0.31012000000009721</v>
      </c>
      <c r="I37" s="11">
        <f t="shared" si="7"/>
        <v>3699.6898799999999</v>
      </c>
      <c r="J37" s="32"/>
      <c r="L37" s="39">
        <v>2700</v>
      </c>
      <c r="N37" s="39">
        <f t="shared" si="5"/>
        <v>999.6898799999999</v>
      </c>
      <c r="O37" s="66">
        <f t="shared" si="6"/>
        <v>1000</v>
      </c>
      <c r="P37" s="42" t="s">
        <v>107</v>
      </c>
    </row>
    <row r="38" spans="2:16">
      <c r="B38" s="20" t="s">
        <v>102</v>
      </c>
      <c r="C38" s="16">
        <f>SUM(C27:C37)</f>
        <v>1541160</v>
      </c>
      <c r="D38" s="21"/>
      <c r="E38" s="16">
        <f>SUM(E27:E37)</f>
        <v>1475814.668701374</v>
      </c>
      <c r="F38" s="23"/>
      <c r="G38" s="16">
        <f>SUM(G27:G37)</f>
        <v>65345.331298626021</v>
      </c>
      <c r="I38" s="16">
        <f>SUM(I27:I37)</f>
        <v>1510814.668701374</v>
      </c>
      <c r="J38" s="33"/>
      <c r="L38" s="16">
        <f>SUM(L27:L37)</f>
        <v>1448235</v>
      </c>
      <c r="N38" s="16">
        <f>SUM(N27:N37)</f>
        <v>62579.668701373979</v>
      </c>
      <c r="O38" s="16">
        <f>SUM(O27:O37)</f>
        <v>92925</v>
      </c>
      <c r="P38" s="42"/>
    </row>
    <row r="39" spans="2:16" ht="69">
      <c r="B39" s="24" t="s">
        <v>24</v>
      </c>
      <c r="C39" s="7" t="str">
        <f>C5</f>
        <v>Tilldelning 2020</v>
      </c>
      <c r="D39" s="21"/>
      <c r="E39" s="7" t="str">
        <f>E5</f>
        <v>Prognos 27 mars</v>
      </c>
      <c r="F39" s="23"/>
      <c r="G39" s="7" t="str">
        <f>G5</f>
        <v>Skillnad tilldelning / prognos</v>
      </c>
      <c r="I39" s="7" t="s">
        <v>96</v>
      </c>
      <c r="J39" s="35"/>
      <c r="L39" s="7" t="str">
        <f>L5</f>
        <v>Prognos 13 maj</v>
      </c>
      <c r="N39" s="7" t="s">
        <v>97</v>
      </c>
      <c r="O39" s="69" t="s">
        <v>105</v>
      </c>
      <c r="P39" s="42"/>
    </row>
    <row r="40" spans="2:16">
      <c r="B40" s="10" t="s">
        <v>25</v>
      </c>
      <c r="C40" s="25">
        <f>-260111-2180</f>
        <v>-262291</v>
      </c>
      <c r="D40" s="21"/>
      <c r="E40" s="26">
        <v>-272702.09087999316</v>
      </c>
      <c r="F40" s="23"/>
      <c r="G40" s="26">
        <f>C40-E40</f>
        <v>10411.090879993164</v>
      </c>
      <c r="I40" s="26">
        <f>E40+55000</f>
        <v>-217702.09087999316</v>
      </c>
      <c r="J40" s="36" t="s">
        <v>39</v>
      </c>
      <c r="L40" s="26">
        <v>-211821</v>
      </c>
      <c r="N40" s="26">
        <f>I40-L40</f>
        <v>-5881.090879993164</v>
      </c>
      <c r="O40" s="67">
        <f>C40-N40</f>
        <v>-256409.90912000684</v>
      </c>
      <c r="P40" s="42" t="s">
        <v>103</v>
      </c>
    </row>
    <row r="41" spans="2:16">
      <c r="B41" s="10" t="s">
        <v>26</v>
      </c>
      <c r="C41" s="25">
        <v>247694</v>
      </c>
      <c r="D41" s="21"/>
      <c r="E41" s="26">
        <v>291000.61072000198</v>
      </c>
      <c r="F41" s="23"/>
      <c r="G41" s="26">
        <f t="shared" ref="G41:G42" si="8">C41-E41</f>
        <v>-43306.610720001976</v>
      </c>
      <c r="I41" s="26">
        <f t="shared" ref="I41" si="9">E41</f>
        <v>291000.61072000198</v>
      </c>
      <c r="J41" s="36"/>
      <c r="L41" s="26">
        <v>292014</v>
      </c>
      <c r="N41" s="26">
        <f t="shared" ref="N41:N42" si="10">I41-L41</f>
        <v>-1013.389279998024</v>
      </c>
      <c r="O41" s="67">
        <f t="shared" ref="O41:O42" si="11">C41-N41</f>
        <v>248707.38927999802</v>
      </c>
      <c r="P41" s="42"/>
    </row>
    <row r="42" spans="2:16">
      <c r="B42" s="10" t="s">
        <v>27</v>
      </c>
      <c r="C42" s="25">
        <v>177000</v>
      </c>
      <c r="D42" s="21"/>
      <c r="E42" s="26">
        <v>177000</v>
      </c>
      <c r="F42" s="23"/>
      <c r="G42" s="26">
        <f t="shared" si="8"/>
        <v>0</v>
      </c>
      <c r="I42" s="26">
        <f>E42-105000-57000-10000+23000+61341</f>
        <v>89341</v>
      </c>
      <c r="J42" s="36"/>
      <c r="L42" s="26">
        <v>89341</v>
      </c>
      <c r="N42" s="26">
        <f t="shared" si="10"/>
        <v>0</v>
      </c>
      <c r="O42" s="67">
        <f t="shared" si="11"/>
        <v>177000</v>
      </c>
      <c r="P42" s="42"/>
    </row>
    <row r="43" spans="2:16">
      <c r="B43" s="20" t="s">
        <v>102</v>
      </c>
      <c r="C43" s="16">
        <f>SUM(C40:C42)</f>
        <v>162403</v>
      </c>
      <c r="D43" s="21"/>
      <c r="E43" s="16">
        <f>SUM(E40:E42)</f>
        <v>195298.51984000881</v>
      </c>
      <c r="F43"/>
      <c r="G43" s="16">
        <f>SUM(G40:G42)</f>
        <v>-32895.519840008812</v>
      </c>
      <c r="I43" s="16">
        <f>SUM(I40:I42)</f>
        <v>162639.51984000881</v>
      </c>
      <c r="J43" s="33"/>
      <c r="L43" s="16">
        <f>SUM(L40:L42)</f>
        <v>169534</v>
      </c>
      <c r="N43" s="16">
        <f>SUM(N40:N42)</f>
        <v>-6894.480159991188</v>
      </c>
      <c r="O43" s="16">
        <f>SUM(O40:O42)</f>
        <v>169297.48015999119</v>
      </c>
      <c r="P43" s="42"/>
    </row>
    <row r="44" spans="2:16">
      <c r="B44" s="27" t="s">
        <v>28</v>
      </c>
      <c r="C44" s="28">
        <f>C25+C38+C43</f>
        <v>7599000</v>
      </c>
      <c r="D44" s="2"/>
      <c r="E44" s="28">
        <f>E25+E38+E43</f>
        <v>7717054.1148360819</v>
      </c>
      <c r="F44"/>
      <c r="G44" s="28">
        <f>G25+G38+G43</f>
        <v>-118055.11483608058</v>
      </c>
      <c r="I44" s="28">
        <f>I25+I38+I43</f>
        <v>7974395.1148360819</v>
      </c>
      <c r="J44" s="37"/>
      <c r="L44" s="28">
        <f>L25+L38+L43</f>
        <v>7923280.0233864784</v>
      </c>
      <c r="N44" s="28">
        <f>N25+N38+N43</f>
        <v>51115.091449602645</v>
      </c>
      <c r="O44" s="28">
        <f>O25+O38+O43</f>
        <v>-147851.54322648677</v>
      </c>
      <c r="P44" s="42"/>
    </row>
    <row r="45" spans="2:16">
      <c r="G45" s="29"/>
      <c r="L45" s="29"/>
      <c r="N45" s="29"/>
      <c r="O45" s="29"/>
    </row>
    <row r="46" spans="2:16">
      <c r="B46" s="44"/>
      <c r="C46" s="43"/>
      <c r="I46" s="61"/>
      <c r="L46" s="61"/>
      <c r="O46" s="61"/>
    </row>
    <row r="47" spans="2:16">
      <c r="B47" s="45"/>
      <c r="C47" s="43"/>
    </row>
    <row r="48" spans="2:16">
      <c r="B48" s="45"/>
      <c r="C48" s="4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742B-C251-4FAE-8A71-76B969A38B39}">
  <dimension ref="A2:N6"/>
  <sheetViews>
    <sheetView workbookViewId="0"/>
  </sheetViews>
  <sheetFormatPr defaultColWidth="8.88671875" defaultRowHeight="14.4"/>
  <cols>
    <col min="1" max="1" width="22.109375" style="3" bestFit="1" customWidth="1"/>
    <col min="2" max="16384" width="8.88671875" style="3"/>
  </cols>
  <sheetData>
    <row r="2" spans="1:14">
      <c r="A2"/>
      <c r="B2" s="17"/>
      <c r="C2" s="2"/>
      <c r="D2" s="17"/>
      <c r="E2"/>
      <c r="F2" s="17"/>
      <c r="H2" s="17"/>
      <c r="J2" s="17"/>
      <c r="L2" s="17"/>
    </row>
    <row r="3" spans="1:14" ht="69">
      <c r="A3" s="18" t="s">
        <v>10</v>
      </c>
      <c r="B3" s="7" t="s">
        <v>3</v>
      </c>
      <c r="C3" s="2"/>
      <c r="D3" s="7" t="s">
        <v>4</v>
      </c>
      <c r="E3"/>
      <c r="F3" s="7" t="s">
        <v>5</v>
      </c>
      <c r="H3" s="7" t="s">
        <v>96</v>
      </c>
      <c r="J3" s="7" t="s">
        <v>43</v>
      </c>
      <c r="L3" s="7" t="s">
        <v>97</v>
      </c>
    </row>
    <row r="4" spans="1:14">
      <c r="A4" s="10" t="s">
        <v>21</v>
      </c>
      <c r="B4" s="11">
        <v>139569</v>
      </c>
      <c r="C4" s="2"/>
      <c r="D4" s="11">
        <v>139015.585251763</v>
      </c>
      <c r="E4"/>
      <c r="F4" s="11">
        <v>553.41474823700264</v>
      </c>
      <c r="H4" s="11">
        <v>139015.585251763</v>
      </c>
      <c r="J4" s="11">
        <v>145611</v>
      </c>
      <c r="L4" s="46">
        <v>-6595.4147482370026</v>
      </c>
      <c r="N4" s="61">
        <f>B4-J4</f>
        <v>-6042</v>
      </c>
    </row>
    <row r="5" spans="1:14" ht="69">
      <c r="A5" s="18" t="s">
        <v>23</v>
      </c>
      <c r="B5" s="7" t="s">
        <v>3</v>
      </c>
      <c r="C5" s="2"/>
      <c r="D5" s="7" t="s">
        <v>4</v>
      </c>
      <c r="E5"/>
      <c r="F5" s="7" t="s">
        <v>5</v>
      </c>
      <c r="H5" s="7" t="s">
        <v>96</v>
      </c>
      <c r="J5" s="7" t="s">
        <v>43</v>
      </c>
      <c r="L5" s="7" t="s">
        <v>97</v>
      </c>
    </row>
    <row r="6" spans="1:14">
      <c r="A6" s="10" t="s">
        <v>21</v>
      </c>
      <c r="B6" s="11">
        <v>174950</v>
      </c>
      <c r="C6" s="2"/>
      <c r="D6" s="11">
        <v>173491.753288042</v>
      </c>
      <c r="E6"/>
      <c r="F6" s="11">
        <v>1458.246711957996</v>
      </c>
      <c r="H6" s="11">
        <v>173491.753288042</v>
      </c>
      <c r="J6" s="11">
        <v>164908</v>
      </c>
      <c r="L6" s="46">
        <v>8583.753288042004</v>
      </c>
      <c r="N6" s="61">
        <f>B6-J6</f>
        <v>10042</v>
      </c>
    </row>
  </sheetData>
  <pageMargins left="0.7" right="0.7" top="0.75" bottom="0.75" header="0.3" footer="0.3"/>
  <pageSetup paperSize="9" orientation="portrait" r:id="rId1"/>
  <headerFooter>
    <oddHeader>&amp;L&amp;G</oddHead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75A6-0F6C-4A94-ACB2-D98A6483259E}">
  <dimension ref="A1:N117"/>
  <sheetViews>
    <sheetView workbookViewId="0">
      <selection sqref="A1:N1"/>
    </sheetView>
  </sheetViews>
  <sheetFormatPr defaultColWidth="8.88671875" defaultRowHeight="14.4"/>
  <cols>
    <col min="1" max="1" width="32.88671875" style="47" bestFit="1" customWidth="1"/>
    <col min="2" max="2" width="12.88671875" style="47" customWidth="1"/>
    <col min="3" max="4" width="8.88671875" style="47" bestFit="1"/>
    <col min="5" max="14" width="10.44140625" style="47" bestFit="1" customWidth="1"/>
    <col min="15" max="16384" width="8.88671875" style="47"/>
  </cols>
  <sheetData>
    <row r="1" spans="1:14" ht="15" customHeight="1">
      <c r="A1" s="239" t="s">
        <v>47</v>
      </c>
      <c r="B1" s="239"/>
      <c r="C1" s="240"/>
      <c r="D1" s="240"/>
      <c r="E1" s="240"/>
      <c r="F1" s="240"/>
      <c r="G1" s="240"/>
      <c r="H1" s="240"/>
      <c r="I1" s="240"/>
      <c r="J1" s="240"/>
      <c r="K1" s="240"/>
      <c r="L1" s="240"/>
      <c r="M1" s="240"/>
      <c r="N1" s="240"/>
    </row>
    <row r="2" spans="1:14" ht="15" customHeight="1">
      <c r="A2" s="239" t="s">
        <v>48</v>
      </c>
      <c r="B2" s="239"/>
      <c r="C2" s="240"/>
      <c r="D2" s="240"/>
      <c r="E2" s="240"/>
      <c r="F2" s="240"/>
      <c r="G2" s="240"/>
      <c r="H2" s="240"/>
      <c r="I2" s="240"/>
      <c r="J2" s="240"/>
      <c r="K2" s="240"/>
      <c r="L2" s="240"/>
      <c r="M2" s="240"/>
      <c r="N2" s="240"/>
    </row>
    <row r="3" spans="1:14" ht="15" customHeight="1">
      <c r="A3" s="239" t="s">
        <v>49</v>
      </c>
      <c r="B3" s="239"/>
      <c r="C3" s="240"/>
      <c r="D3" s="240"/>
      <c r="E3" s="240"/>
      <c r="F3" s="240"/>
      <c r="G3" s="240"/>
      <c r="H3" s="240"/>
      <c r="I3" s="240"/>
      <c r="J3" s="240"/>
      <c r="K3" s="240"/>
      <c r="L3" s="240"/>
      <c r="M3" s="240"/>
      <c r="N3" s="240"/>
    </row>
    <row r="4" spans="1:14" ht="15" customHeight="1">
      <c r="A4" s="239" t="s">
        <v>50</v>
      </c>
      <c r="B4" s="239"/>
      <c r="C4" s="240"/>
      <c r="D4" s="240"/>
      <c r="E4" s="240"/>
      <c r="F4" s="240"/>
      <c r="G4" s="240"/>
      <c r="H4" s="240"/>
      <c r="I4" s="240"/>
      <c r="J4" s="240"/>
      <c r="K4" s="240"/>
      <c r="L4" s="240"/>
      <c r="M4" s="240"/>
      <c r="N4" s="240"/>
    </row>
    <row r="5" spans="1:14" ht="15" customHeight="1">
      <c r="A5" s="239" t="s">
        <v>51</v>
      </c>
      <c r="B5" s="239"/>
      <c r="C5" s="240"/>
      <c r="D5" s="240"/>
      <c r="E5" s="240"/>
      <c r="F5" s="240"/>
      <c r="G5" s="240"/>
      <c r="H5" s="240"/>
      <c r="I5" s="240"/>
      <c r="J5" s="240"/>
      <c r="K5" s="240"/>
      <c r="L5" s="240"/>
      <c r="M5" s="240"/>
      <c r="N5" s="240"/>
    </row>
    <row r="6" spans="1:14" ht="15" customHeight="1">
      <c r="A6" s="239" t="s">
        <v>52</v>
      </c>
      <c r="B6" s="239"/>
      <c r="C6" s="240"/>
      <c r="D6" s="240"/>
      <c r="E6" s="240"/>
      <c r="F6" s="240"/>
      <c r="G6" s="240"/>
      <c r="H6" s="240"/>
      <c r="I6" s="240"/>
      <c r="J6" s="240"/>
      <c r="K6" s="240"/>
      <c r="L6" s="240"/>
      <c r="M6" s="240"/>
      <c r="N6" s="240"/>
    </row>
    <row r="7" spans="1:14" ht="15" customHeight="1">
      <c r="A7" s="239" t="s">
        <v>53</v>
      </c>
      <c r="B7" s="239"/>
      <c r="C7" s="240"/>
      <c r="D7" s="240"/>
      <c r="E7" s="240"/>
      <c r="F7" s="240"/>
      <c r="G7" s="240"/>
      <c r="H7" s="240"/>
      <c r="I7" s="240"/>
      <c r="J7" s="240"/>
      <c r="K7" s="240"/>
      <c r="L7" s="240"/>
      <c r="M7" s="240"/>
      <c r="N7" s="240"/>
    </row>
    <row r="8" spans="1:14" ht="15" customHeight="1">
      <c r="A8" s="48" t="s">
        <v>54</v>
      </c>
      <c r="B8" s="48"/>
      <c r="C8" s="241" t="s">
        <v>55</v>
      </c>
      <c r="D8" s="241" t="s">
        <v>55</v>
      </c>
      <c r="E8" s="241" t="s">
        <v>55</v>
      </c>
      <c r="F8" s="241" t="s">
        <v>55</v>
      </c>
      <c r="G8" s="241" t="s">
        <v>55</v>
      </c>
      <c r="H8" s="241" t="s">
        <v>55</v>
      </c>
      <c r="I8" s="241" t="s">
        <v>55</v>
      </c>
      <c r="J8" s="241" t="s">
        <v>55</v>
      </c>
      <c r="K8" s="241" t="s">
        <v>55</v>
      </c>
      <c r="L8" s="241" t="s">
        <v>55</v>
      </c>
      <c r="M8" s="241" t="s">
        <v>55</v>
      </c>
      <c r="N8" s="241" t="s">
        <v>55</v>
      </c>
    </row>
    <row r="9" spans="1:14" ht="15" customHeight="1">
      <c r="A9" s="48" t="s">
        <v>54</v>
      </c>
      <c r="B9" s="48" t="s">
        <v>95</v>
      </c>
      <c r="C9" s="49" t="s">
        <v>56</v>
      </c>
      <c r="D9" s="49" t="s">
        <v>57</v>
      </c>
      <c r="E9" s="49" t="s">
        <v>58</v>
      </c>
      <c r="F9" s="49" t="s">
        <v>59</v>
      </c>
      <c r="G9" s="49" t="s">
        <v>60</v>
      </c>
      <c r="H9" s="49" t="s">
        <v>61</v>
      </c>
      <c r="I9" s="49" t="s">
        <v>62</v>
      </c>
      <c r="J9" s="49" t="s">
        <v>63</v>
      </c>
      <c r="K9" s="49" t="s">
        <v>64</v>
      </c>
      <c r="L9" s="49" t="s">
        <v>65</v>
      </c>
      <c r="M9" s="49" t="s">
        <v>66</v>
      </c>
      <c r="N9" s="49" t="s">
        <v>67</v>
      </c>
    </row>
    <row r="10" spans="1:14" ht="15.9" customHeight="1">
      <c r="A10" s="50" t="s">
        <v>68</v>
      </c>
      <c r="B10" s="50"/>
      <c r="C10" s="51"/>
      <c r="D10" s="51"/>
      <c r="E10" s="51"/>
      <c r="F10" s="51"/>
      <c r="G10" s="51"/>
      <c r="H10" s="51"/>
      <c r="I10" s="51"/>
      <c r="J10" s="51"/>
      <c r="K10" s="51"/>
      <c r="L10" s="51"/>
      <c r="M10" s="51"/>
      <c r="N10" s="51"/>
    </row>
    <row r="11" spans="1:14" ht="15.9" customHeight="1">
      <c r="A11" s="52" t="s">
        <v>69</v>
      </c>
      <c r="B11" s="52"/>
      <c r="C11" s="53">
        <v>427632.42050000001</v>
      </c>
      <c r="D11" s="53">
        <v>455505.51432999998</v>
      </c>
      <c r="E11" s="53">
        <v>538926.54246000003</v>
      </c>
      <c r="F11" s="53">
        <v>482080.57002999994</v>
      </c>
      <c r="G11" s="53">
        <v>-1238.0432599999999</v>
      </c>
      <c r="H11" s="53"/>
      <c r="I11" s="53"/>
      <c r="J11" s="53"/>
      <c r="K11" s="53"/>
      <c r="L11" s="53"/>
      <c r="M11" s="53"/>
      <c r="N11" s="53">
        <v>-6.9999999999999994E-5</v>
      </c>
    </row>
    <row r="12" spans="1:14" ht="15" customHeight="1">
      <c r="A12" s="54" t="s">
        <v>70</v>
      </c>
      <c r="B12" s="54"/>
      <c r="C12" s="55">
        <v>55.073720000000002</v>
      </c>
      <c r="D12" s="55">
        <v>107.1003</v>
      </c>
      <c r="E12" s="55">
        <v>29.01568</v>
      </c>
      <c r="F12" s="55">
        <v>54.980260000000001</v>
      </c>
      <c r="G12" s="55">
        <v>8.2237999999999989</v>
      </c>
      <c r="H12" s="55"/>
      <c r="I12" s="55"/>
      <c r="J12" s="55"/>
      <c r="K12" s="55"/>
      <c r="L12" s="55"/>
      <c r="M12" s="55"/>
      <c r="N12" s="55"/>
    </row>
    <row r="13" spans="1:14" ht="15" customHeight="1">
      <c r="A13" s="54" t="s">
        <v>71</v>
      </c>
      <c r="B13" s="54"/>
      <c r="C13" s="55">
        <v>4.1469300000000002</v>
      </c>
      <c r="D13" s="55">
        <v>1.45079</v>
      </c>
      <c r="E13" s="55">
        <v>136.03557000000001</v>
      </c>
      <c r="F13" s="55">
        <v>0.75</v>
      </c>
      <c r="G13" s="55">
        <v>2.7071199999999997</v>
      </c>
      <c r="H13" s="55"/>
      <c r="I13" s="55"/>
      <c r="J13" s="55"/>
      <c r="K13" s="55"/>
      <c r="L13" s="55"/>
      <c r="M13" s="55"/>
      <c r="N13" s="55"/>
    </row>
    <row r="14" spans="1:14" ht="15" customHeight="1">
      <c r="A14" s="54" t="s">
        <v>72</v>
      </c>
      <c r="B14" s="54"/>
      <c r="C14" s="55">
        <v>2979.3621800000001</v>
      </c>
      <c r="D14" s="55">
        <v>2628.04945</v>
      </c>
      <c r="E14" s="55">
        <v>2539.8959599999998</v>
      </c>
      <c r="F14" s="55">
        <v>2545.0826400000001</v>
      </c>
      <c r="G14" s="55">
        <v>-30.21349</v>
      </c>
      <c r="H14" s="55"/>
      <c r="I14" s="55"/>
      <c r="J14" s="55"/>
      <c r="K14" s="55"/>
      <c r="L14" s="55"/>
      <c r="M14" s="55"/>
      <c r="N14" s="55"/>
    </row>
    <row r="15" spans="1:14" ht="15" customHeight="1">
      <c r="A15" s="54" t="s">
        <v>73</v>
      </c>
      <c r="B15" s="54"/>
      <c r="C15" s="55">
        <v>288.99047999999999</v>
      </c>
      <c r="D15" s="55">
        <v>387.76578000000001</v>
      </c>
      <c r="E15" s="55">
        <v>308.43236999999999</v>
      </c>
      <c r="F15" s="55">
        <v>368.44506000000001</v>
      </c>
      <c r="G15" s="55"/>
      <c r="H15" s="55"/>
      <c r="I15" s="55"/>
      <c r="J15" s="55"/>
      <c r="K15" s="55"/>
      <c r="L15" s="55"/>
      <c r="M15" s="55"/>
      <c r="N15" s="55"/>
    </row>
    <row r="16" spans="1:14" ht="15" customHeight="1">
      <c r="A16" s="54" t="s">
        <v>74</v>
      </c>
      <c r="B16" s="54"/>
      <c r="C16" s="55">
        <v>90267.349829999992</v>
      </c>
      <c r="D16" s="55">
        <v>97356.160569999993</v>
      </c>
      <c r="E16" s="55">
        <v>122578.37812000001</v>
      </c>
      <c r="F16" s="55">
        <v>110877.80683</v>
      </c>
      <c r="G16" s="55">
        <v>-4780.6120599999995</v>
      </c>
      <c r="H16" s="55"/>
      <c r="I16" s="55"/>
      <c r="J16" s="55"/>
      <c r="K16" s="55"/>
      <c r="L16" s="55"/>
      <c r="M16" s="55"/>
      <c r="N16" s="55"/>
    </row>
    <row r="17" spans="1:14" ht="15" customHeight="1">
      <c r="A17" s="54" t="s">
        <v>75</v>
      </c>
      <c r="B17" s="54"/>
      <c r="C17" s="55">
        <v>161973.26462</v>
      </c>
      <c r="D17" s="55">
        <v>164302.84290000002</v>
      </c>
      <c r="E17" s="55">
        <v>163181.56740999999</v>
      </c>
      <c r="F17" s="55">
        <v>163683.19884999999</v>
      </c>
      <c r="G17" s="55">
        <v>1654.7361100000001</v>
      </c>
      <c r="H17" s="55"/>
      <c r="I17" s="55"/>
      <c r="J17" s="55"/>
      <c r="K17" s="55"/>
      <c r="L17" s="55"/>
      <c r="M17" s="55"/>
      <c r="N17" s="55"/>
    </row>
    <row r="18" spans="1:14" ht="15" customHeight="1">
      <c r="A18" s="54" t="s">
        <v>76</v>
      </c>
      <c r="B18" s="54"/>
      <c r="C18" s="55">
        <v>89540.746569999988</v>
      </c>
      <c r="D18" s="55">
        <v>87511.672720000002</v>
      </c>
      <c r="E18" s="55">
        <v>87544.974560000002</v>
      </c>
      <c r="F18" s="55">
        <v>87584.679770000002</v>
      </c>
      <c r="G18" s="55">
        <v>1519.44319</v>
      </c>
      <c r="H18" s="55"/>
      <c r="I18" s="55"/>
      <c r="J18" s="55"/>
      <c r="K18" s="55"/>
      <c r="L18" s="55"/>
      <c r="M18" s="55"/>
      <c r="N18" s="55"/>
    </row>
    <row r="19" spans="1:14" ht="15" customHeight="1">
      <c r="A19" s="54" t="s">
        <v>77</v>
      </c>
      <c r="B19" s="54"/>
      <c r="C19" s="55">
        <v>5125.7668300000005</v>
      </c>
      <c r="D19" s="55">
        <v>4672.4675999999999</v>
      </c>
      <c r="E19" s="55">
        <v>4965.11085</v>
      </c>
      <c r="F19" s="55">
        <v>4731.5460999999996</v>
      </c>
      <c r="G19" s="55">
        <v>1.6589700000000001</v>
      </c>
      <c r="H19" s="55"/>
      <c r="I19" s="55"/>
      <c r="J19" s="55"/>
      <c r="K19" s="55"/>
      <c r="L19" s="55"/>
      <c r="M19" s="55"/>
      <c r="N19" s="55"/>
    </row>
    <row r="20" spans="1:14" ht="15" customHeight="1">
      <c r="A20" s="54" t="s">
        <v>78</v>
      </c>
      <c r="B20" s="54"/>
      <c r="C20" s="55">
        <v>38702.785520000005</v>
      </c>
      <c r="D20" s="55">
        <v>55912.378520000006</v>
      </c>
      <c r="E20" s="55">
        <v>105215.13441</v>
      </c>
      <c r="F20" s="55">
        <v>65219.80328</v>
      </c>
      <c r="G20" s="55">
        <v>3437.6268700000001</v>
      </c>
      <c r="H20" s="55"/>
      <c r="I20" s="55"/>
      <c r="J20" s="55"/>
      <c r="K20" s="55"/>
      <c r="L20" s="55"/>
      <c r="M20" s="55"/>
      <c r="N20" s="55"/>
    </row>
    <row r="21" spans="1:14" ht="15" customHeight="1">
      <c r="A21" s="54" t="s">
        <v>79</v>
      </c>
      <c r="B21" s="54"/>
      <c r="C21" s="55">
        <v>4280.3977699999996</v>
      </c>
      <c r="D21" s="55">
        <v>4110.4362099999998</v>
      </c>
      <c r="E21" s="55">
        <v>5229.5575399999998</v>
      </c>
      <c r="F21" s="55">
        <v>4541.5867300000009</v>
      </c>
      <c r="G21" s="55">
        <v>-45.523699999999998</v>
      </c>
      <c r="H21" s="55"/>
      <c r="I21" s="55"/>
      <c r="J21" s="55"/>
      <c r="K21" s="55"/>
      <c r="L21" s="55"/>
      <c r="M21" s="55"/>
      <c r="N21" s="55"/>
    </row>
    <row r="22" spans="1:14" ht="15" customHeight="1">
      <c r="A22" s="54" t="s">
        <v>80</v>
      </c>
      <c r="B22" s="54"/>
      <c r="C22" s="55">
        <v>9954.7075100000002</v>
      </c>
      <c r="D22" s="55">
        <v>8719.7864800000007</v>
      </c>
      <c r="E22" s="55">
        <v>12209.93591</v>
      </c>
      <c r="F22" s="55">
        <v>9248.2067999999999</v>
      </c>
      <c r="G22" s="55">
        <v>100.75030000000001</v>
      </c>
      <c r="H22" s="55"/>
      <c r="I22" s="55"/>
      <c r="J22" s="55"/>
      <c r="K22" s="55"/>
      <c r="L22" s="55"/>
      <c r="M22" s="55"/>
      <c r="N22" s="55"/>
    </row>
    <row r="23" spans="1:14" ht="15" customHeight="1">
      <c r="A23" s="54" t="s">
        <v>81</v>
      </c>
      <c r="B23" s="54"/>
      <c r="C23" s="55">
        <v>7084.0159299999996</v>
      </c>
      <c r="D23" s="55">
        <v>6985.1501600000001</v>
      </c>
      <c r="E23" s="55">
        <v>7749.0140599999995</v>
      </c>
      <c r="F23" s="55">
        <v>7619.6004800000001</v>
      </c>
      <c r="G23" s="55">
        <v>-21.678450000000002</v>
      </c>
      <c r="H23" s="55"/>
      <c r="I23" s="55"/>
      <c r="J23" s="55"/>
      <c r="K23" s="55"/>
      <c r="L23" s="55"/>
      <c r="M23" s="55"/>
      <c r="N23" s="55"/>
    </row>
    <row r="24" spans="1:14" ht="15" customHeight="1">
      <c r="A24" s="54" t="s">
        <v>82</v>
      </c>
      <c r="B24" s="54"/>
      <c r="C24" s="55">
        <v>22517.029329999998</v>
      </c>
      <c r="D24" s="55">
        <v>22203.054960000001</v>
      </c>
      <c r="E24" s="55">
        <v>26741.209500000001</v>
      </c>
      <c r="F24" s="55">
        <v>25603.121329999998</v>
      </c>
      <c r="G24" s="55">
        <v>-2782.4231299999997</v>
      </c>
      <c r="H24" s="55"/>
      <c r="I24" s="55"/>
      <c r="J24" s="55"/>
      <c r="K24" s="55"/>
      <c r="L24" s="55"/>
      <c r="M24" s="55"/>
      <c r="N24" s="55"/>
    </row>
    <row r="25" spans="1:14" ht="15" customHeight="1">
      <c r="A25" s="54" t="s">
        <v>83</v>
      </c>
      <c r="B25" s="54"/>
      <c r="C25" s="55">
        <v>1200.61475</v>
      </c>
      <c r="D25" s="55">
        <v>237.55744000000001</v>
      </c>
      <c r="E25" s="55">
        <v>-124.11424000000001</v>
      </c>
      <c r="F25" s="55">
        <v>829.57216000000005</v>
      </c>
      <c r="G25" s="55">
        <v>-610.53566000000001</v>
      </c>
      <c r="H25" s="55"/>
      <c r="I25" s="55"/>
      <c r="J25" s="55"/>
      <c r="K25" s="55"/>
      <c r="L25" s="55"/>
      <c r="M25" s="55"/>
      <c r="N25" s="55"/>
    </row>
    <row r="26" spans="1:14" ht="15" customHeight="1">
      <c r="A26" s="54" t="s">
        <v>84</v>
      </c>
      <c r="B26" s="54"/>
      <c r="C26" s="55">
        <v>-6341.8314700000001</v>
      </c>
      <c r="D26" s="55">
        <v>369.64044999999999</v>
      </c>
      <c r="E26" s="55">
        <v>622.39476000000002</v>
      </c>
      <c r="F26" s="55">
        <v>-827.81025999999997</v>
      </c>
      <c r="G26" s="55">
        <v>307.79687000000001</v>
      </c>
      <c r="H26" s="55"/>
      <c r="I26" s="55"/>
      <c r="J26" s="55"/>
      <c r="K26" s="55"/>
      <c r="L26" s="55"/>
      <c r="M26" s="55"/>
      <c r="N26" s="55">
        <v>-6.9999999999999994E-5</v>
      </c>
    </row>
    <row r="27" spans="1:14" ht="15.9" customHeight="1">
      <c r="A27" s="52" t="s">
        <v>85</v>
      </c>
      <c r="B27" s="52"/>
      <c r="C27" s="53">
        <v>469351.58181428403</v>
      </c>
      <c r="D27" s="53">
        <v>467631.83346650098</v>
      </c>
      <c r="E27" s="53">
        <v>482577.41518169997</v>
      </c>
      <c r="F27" s="53">
        <v>492851.81002587802</v>
      </c>
      <c r="G27" s="53">
        <v>508371.17020133196</v>
      </c>
      <c r="H27" s="53">
        <v>515458.35809940699</v>
      </c>
      <c r="I27" s="53">
        <v>492086.65773240698</v>
      </c>
      <c r="J27" s="53">
        <v>496433.27720850299</v>
      </c>
      <c r="K27" s="53">
        <v>496401.15895641898</v>
      </c>
      <c r="L27" s="53">
        <v>498546.34943199804</v>
      </c>
      <c r="M27" s="53">
        <v>488008.141868926</v>
      </c>
      <c r="N27" s="53">
        <v>487733.40435666504</v>
      </c>
    </row>
    <row r="28" spans="1:14" ht="15" customHeight="1">
      <c r="A28" s="54" t="s">
        <v>72</v>
      </c>
      <c r="B28" s="60">
        <f>SUM(C28:N28)</f>
        <v>40796.953193986003</v>
      </c>
      <c r="C28" s="55">
        <v>2897.6711238370003</v>
      </c>
      <c r="D28" s="55">
        <v>2681.4625616740004</v>
      </c>
      <c r="E28" s="55">
        <v>2674.181162072</v>
      </c>
      <c r="F28" s="55">
        <v>3062.8312325709999</v>
      </c>
      <c r="G28" s="55">
        <v>3854.9649266179999</v>
      </c>
      <c r="H28" s="55">
        <v>3518.9445007650002</v>
      </c>
      <c r="I28" s="55">
        <v>3865.089103064</v>
      </c>
      <c r="J28" s="55">
        <v>3498.90375967</v>
      </c>
      <c r="K28" s="55">
        <v>3533.5200005029997</v>
      </c>
      <c r="L28" s="55">
        <v>3532.1851395950002</v>
      </c>
      <c r="M28" s="55">
        <v>3974.9168338479999</v>
      </c>
      <c r="N28" s="55">
        <v>3702.2828497689998</v>
      </c>
    </row>
    <row r="29" spans="1:14" ht="15" customHeight="1">
      <c r="A29" s="54" t="s">
        <v>73</v>
      </c>
      <c r="B29" s="60">
        <f t="shared" ref="B29:B92" si="0">SUM(C29:N29)</f>
        <v>9289.967027748</v>
      </c>
      <c r="C29" s="55">
        <v>936.04650304500001</v>
      </c>
      <c r="D29" s="55">
        <v>513.413687579</v>
      </c>
      <c r="E29" s="55">
        <v>984.43816109499994</v>
      </c>
      <c r="F29" s="55">
        <v>460.36771952500004</v>
      </c>
      <c r="G29" s="55">
        <v>873.33731974800003</v>
      </c>
      <c r="H29" s="55">
        <v>710.63979940500008</v>
      </c>
      <c r="I29" s="55">
        <v>715.88772355200001</v>
      </c>
      <c r="J29" s="55">
        <v>833.06253306600001</v>
      </c>
      <c r="K29" s="55">
        <v>842.51256545299998</v>
      </c>
      <c r="L29" s="55">
        <v>756.01548839700001</v>
      </c>
      <c r="M29" s="55">
        <v>844.72418077199995</v>
      </c>
      <c r="N29" s="55">
        <v>819.52134611100007</v>
      </c>
    </row>
    <row r="30" spans="1:14" ht="15" customHeight="1">
      <c r="A30" s="54" t="s">
        <v>74</v>
      </c>
      <c r="B30" s="60">
        <f t="shared" si="0"/>
        <v>1505152.198584446</v>
      </c>
      <c r="C30" s="55">
        <v>104410.60103561901</v>
      </c>
      <c r="D30" s="55">
        <v>105761.670660359</v>
      </c>
      <c r="E30" s="55">
        <v>118607.068200692</v>
      </c>
      <c r="F30" s="55">
        <v>120889.11242390401</v>
      </c>
      <c r="G30" s="55">
        <v>131215.058488107</v>
      </c>
      <c r="H30" s="55">
        <v>137594.01669458198</v>
      </c>
      <c r="I30" s="55">
        <v>123047.02626272901</v>
      </c>
      <c r="J30" s="55">
        <v>132690.31168130398</v>
      </c>
      <c r="K30" s="55">
        <v>131774.86674687901</v>
      </c>
      <c r="L30" s="55">
        <v>138682.49988767499</v>
      </c>
      <c r="M30" s="55">
        <v>130170.16055850101</v>
      </c>
      <c r="N30" s="55">
        <v>130309.805944095</v>
      </c>
    </row>
    <row r="31" spans="1:14" ht="15" customHeight="1">
      <c r="A31" s="54" t="s">
        <v>75</v>
      </c>
      <c r="B31" s="60">
        <f t="shared" si="0"/>
        <v>1867011.5801704228</v>
      </c>
      <c r="C31" s="55">
        <v>160906.65960885302</v>
      </c>
      <c r="D31" s="55">
        <v>160351.36286283698</v>
      </c>
      <c r="E31" s="55">
        <v>160916.17703260202</v>
      </c>
      <c r="F31" s="55">
        <v>160977.82474190701</v>
      </c>
      <c r="G31" s="55">
        <v>161173.77591246102</v>
      </c>
      <c r="H31" s="55">
        <v>160810.764782229</v>
      </c>
      <c r="I31" s="55">
        <v>160927.33362569299</v>
      </c>
      <c r="J31" s="55">
        <v>153436.8987705</v>
      </c>
      <c r="K31" s="55">
        <v>150579.37310271201</v>
      </c>
      <c r="L31" s="55">
        <v>147932.17699291001</v>
      </c>
      <c r="M31" s="55">
        <v>145657.01100954699</v>
      </c>
      <c r="N31" s="55">
        <v>143342.22172817201</v>
      </c>
    </row>
    <row r="32" spans="1:14" ht="15" customHeight="1">
      <c r="A32" s="54" t="s">
        <v>76</v>
      </c>
      <c r="B32" s="60">
        <f t="shared" si="0"/>
        <v>959000.34669509414</v>
      </c>
      <c r="C32" s="55">
        <v>87271.370955770995</v>
      </c>
      <c r="D32" s="55">
        <v>84884.211951792997</v>
      </c>
      <c r="E32" s="55">
        <v>81297.183998857014</v>
      </c>
      <c r="F32" s="55">
        <v>85018.792976490004</v>
      </c>
      <c r="G32" s="55">
        <v>80132.588556998002</v>
      </c>
      <c r="H32" s="55">
        <v>81307.334083619004</v>
      </c>
      <c r="I32" s="55">
        <v>81610.541367558006</v>
      </c>
      <c r="J32" s="55">
        <v>78258.007482785993</v>
      </c>
      <c r="K32" s="55">
        <v>75997.486571863003</v>
      </c>
      <c r="L32" s="55">
        <v>74945.56215672601</v>
      </c>
      <c r="M32" s="55">
        <v>73767.824292149002</v>
      </c>
      <c r="N32" s="55">
        <v>74509.442300484006</v>
      </c>
    </row>
    <row r="33" spans="1:14" ht="15" customHeight="1">
      <c r="A33" s="54" t="s">
        <v>77</v>
      </c>
      <c r="B33" s="60">
        <f t="shared" si="0"/>
        <v>60700.703395919998</v>
      </c>
      <c r="C33" s="55">
        <v>4422.3411530820003</v>
      </c>
      <c r="D33" s="55">
        <v>4698.840694003</v>
      </c>
      <c r="E33" s="55">
        <v>5422.6769493089996</v>
      </c>
      <c r="F33" s="55">
        <v>4932.7762105450001</v>
      </c>
      <c r="G33" s="55">
        <v>4770.6386825139998</v>
      </c>
      <c r="H33" s="55">
        <v>4915.034178719</v>
      </c>
      <c r="I33" s="55">
        <v>5092.6164977730004</v>
      </c>
      <c r="J33" s="55">
        <v>4927.3361539479993</v>
      </c>
      <c r="K33" s="55">
        <v>5504.2049821229994</v>
      </c>
      <c r="L33" s="55">
        <v>5064.2695399889999</v>
      </c>
      <c r="M33" s="55">
        <v>5303.8147233499994</v>
      </c>
      <c r="N33" s="55">
        <v>5646.1536305649997</v>
      </c>
    </row>
    <row r="34" spans="1:14" ht="15" customHeight="1">
      <c r="A34" s="54" t="s">
        <v>78</v>
      </c>
      <c r="B34" s="60">
        <f t="shared" si="0"/>
        <v>822125.57877964911</v>
      </c>
      <c r="C34" s="55">
        <v>63782.122144836001</v>
      </c>
      <c r="D34" s="55">
        <v>63250.240320003999</v>
      </c>
      <c r="E34" s="55">
        <v>64680.280137566995</v>
      </c>
      <c r="F34" s="55">
        <v>65339.050331090999</v>
      </c>
      <c r="G34" s="55">
        <v>70790.797312540992</v>
      </c>
      <c r="H34" s="55">
        <v>71607.970198658004</v>
      </c>
      <c r="I34" s="55">
        <v>62782.073218036006</v>
      </c>
      <c r="J34" s="55">
        <v>70052.538198363007</v>
      </c>
      <c r="K34" s="55">
        <v>73780.063364297996</v>
      </c>
      <c r="L34" s="55">
        <v>72255.218622871995</v>
      </c>
      <c r="M34" s="55">
        <v>73890.809213789995</v>
      </c>
      <c r="N34" s="55">
        <v>69914.415717593001</v>
      </c>
    </row>
    <row r="35" spans="1:14" ht="15" customHeight="1">
      <c r="A35" s="54" t="s">
        <v>79</v>
      </c>
      <c r="B35" s="60">
        <f t="shared" si="0"/>
        <v>64709.980762990002</v>
      </c>
      <c r="C35" s="55">
        <v>4697.5127636219995</v>
      </c>
      <c r="D35" s="55">
        <v>4984.1314178099992</v>
      </c>
      <c r="E35" s="55">
        <v>5064.9717643009999</v>
      </c>
      <c r="F35" s="55">
        <v>5543.1373131029995</v>
      </c>
      <c r="G35" s="55">
        <v>5462.171331257</v>
      </c>
      <c r="H35" s="55">
        <v>5607.2546511850005</v>
      </c>
      <c r="I35" s="55">
        <v>5672.9386730260003</v>
      </c>
      <c r="J35" s="55">
        <v>5572.6789846480006</v>
      </c>
      <c r="K35" s="55">
        <v>5459.3862760770007</v>
      </c>
      <c r="L35" s="55">
        <v>5604.8630157930002</v>
      </c>
      <c r="M35" s="55">
        <v>5434.4644967300001</v>
      </c>
      <c r="N35" s="55">
        <v>5606.4700754380001</v>
      </c>
    </row>
    <row r="36" spans="1:14" ht="15" customHeight="1">
      <c r="A36" s="54" t="s">
        <v>80</v>
      </c>
      <c r="B36" s="60">
        <f t="shared" si="0"/>
        <v>139569.556772596</v>
      </c>
      <c r="C36" s="55">
        <v>9539.8803831670011</v>
      </c>
      <c r="D36" s="55">
        <v>9432.2870160939983</v>
      </c>
      <c r="E36" s="55">
        <v>10072.205969229999</v>
      </c>
      <c r="F36" s="55">
        <v>10403.847874250001</v>
      </c>
      <c r="G36" s="55">
        <v>12482.854544857999</v>
      </c>
      <c r="H36" s="55">
        <v>10779.498319684</v>
      </c>
      <c r="I36" s="55">
        <v>11045.594971069</v>
      </c>
      <c r="J36" s="55">
        <v>10957.549602042001</v>
      </c>
      <c r="K36" s="55">
        <v>13144.051550767999</v>
      </c>
      <c r="L36" s="55">
        <v>13188.903007018</v>
      </c>
      <c r="M36" s="55">
        <v>13152.903378907</v>
      </c>
      <c r="N36" s="55">
        <v>15369.980155509</v>
      </c>
    </row>
    <row r="37" spans="1:14" ht="15" customHeight="1">
      <c r="A37" s="54" t="s">
        <v>81</v>
      </c>
      <c r="B37" s="60">
        <f t="shared" si="0"/>
        <v>97500.968239154026</v>
      </c>
      <c r="C37" s="55">
        <v>7205.8450960130003</v>
      </c>
      <c r="D37" s="55">
        <v>7222.3567054880004</v>
      </c>
      <c r="E37" s="55">
        <v>7624.1552478820004</v>
      </c>
      <c r="F37" s="55">
        <v>8236.307393997</v>
      </c>
      <c r="G37" s="55">
        <v>8368.0890626090004</v>
      </c>
      <c r="H37" s="55">
        <v>8579.2341202520001</v>
      </c>
      <c r="I37" s="55">
        <v>8639.2609941350001</v>
      </c>
      <c r="J37" s="55">
        <v>8257.7367304929994</v>
      </c>
      <c r="K37" s="55">
        <v>8334.9908351270005</v>
      </c>
      <c r="L37" s="55">
        <v>8366.3920533889996</v>
      </c>
      <c r="M37" s="55">
        <v>8011.8372032179996</v>
      </c>
      <c r="N37" s="55">
        <v>8654.7627965510001</v>
      </c>
    </row>
    <row r="38" spans="1:14" ht="15" customHeight="1">
      <c r="A38" s="54" t="s">
        <v>82</v>
      </c>
      <c r="B38" s="60">
        <f t="shared" si="0"/>
        <v>325453.25615444104</v>
      </c>
      <c r="C38" s="55">
        <v>22919.032648306002</v>
      </c>
      <c r="D38" s="55">
        <v>23504.698806864999</v>
      </c>
      <c r="E38" s="55">
        <v>24961.081920634002</v>
      </c>
      <c r="F38" s="55">
        <v>27745.112169893997</v>
      </c>
      <c r="G38" s="55">
        <v>29005.267489626003</v>
      </c>
      <c r="H38" s="55">
        <v>29664.354984328998</v>
      </c>
      <c r="I38" s="55">
        <v>28313.925783672999</v>
      </c>
      <c r="J38" s="55">
        <v>27583.409399069002</v>
      </c>
      <c r="K38" s="55">
        <v>26973.161728617</v>
      </c>
      <c r="L38" s="55">
        <v>27856.330980234998</v>
      </c>
      <c r="M38" s="55">
        <v>27560.573208815</v>
      </c>
      <c r="N38" s="55">
        <v>29366.307034377998</v>
      </c>
    </row>
    <row r="39" spans="1:14" ht="15" customHeight="1">
      <c r="A39" s="54" t="s">
        <v>83</v>
      </c>
      <c r="B39" s="60">
        <f t="shared" si="0"/>
        <v>4140.0685675730001</v>
      </c>
      <c r="C39" s="55">
        <v>362.49839813300002</v>
      </c>
      <c r="D39" s="55">
        <v>347.15678199500002</v>
      </c>
      <c r="E39" s="55">
        <v>272.99463745899999</v>
      </c>
      <c r="F39" s="55">
        <v>242.64963860100002</v>
      </c>
      <c r="G39" s="55">
        <v>241.626573995</v>
      </c>
      <c r="H39" s="55">
        <v>363.31178597999997</v>
      </c>
      <c r="I39" s="55">
        <v>374.36951209899996</v>
      </c>
      <c r="J39" s="55">
        <v>364.84391261399998</v>
      </c>
      <c r="K39" s="55">
        <v>477.54123199899999</v>
      </c>
      <c r="L39" s="55">
        <v>361.93254739899999</v>
      </c>
      <c r="M39" s="55">
        <v>239.10276929900002</v>
      </c>
      <c r="N39" s="55">
        <v>492.04077799999999</v>
      </c>
    </row>
    <row r="40" spans="1:14" ht="15.9" customHeight="1">
      <c r="A40" s="52" t="s">
        <v>86</v>
      </c>
      <c r="B40" s="60">
        <f t="shared" si="0"/>
        <v>6298658.3865665486</v>
      </c>
      <c r="C40" s="53">
        <v>418908.06625999999</v>
      </c>
      <c r="D40" s="53">
        <v>451866.57329999999</v>
      </c>
      <c r="E40" s="53">
        <v>536825.1176</v>
      </c>
      <c r="F40" s="53">
        <v>488488.89769172104</v>
      </c>
      <c r="G40" s="53">
        <v>511554.90268507396</v>
      </c>
      <c r="H40" s="53">
        <v>546359.88074581604</v>
      </c>
      <c r="I40" s="53">
        <v>530548.54931305093</v>
      </c>
      <c r="J40" s="53">
        <v>548098.69611366908</v>
      </c>
      <c r="K40" s="53">
        <v>571576.20656734298</v>
      </c>
      <c r="L40" s="53">
        <v>579546.24643743504</v>
      </c>
      <c r="M40" s="53">
        <v>572846.59050967207</v>
      </c>
      <c r="N40" s="53">
        <v>542038.65934276697</v>
      </c>
    </row>
    <row r="41" spans="1:14" ht="15" customHeight="1">
      <c r="A41" s="54" t="s">
        <v>72</v>
      </c>
      <c r="B41" s="60">
        <f t="shared" si="0"/>
        <v>38833.709125431007</v>
      </c>
      <c r="C41" s="55">
        <v>2979.3621800000001</v>
      </c>
      <c r="D41" s="55">
        <v>2628.04945</v>
      </c>
      <c r="E41" s="55">
        <v>2539.8959599999998</v>
      </c>
      <c r="F41" s="55">
        <v>2592.0963833559999</v>
      </c>
      <c r="G41" s="55">
        <v>3076.0513943810001</v>
      </c>
      <c r="H41" s="55">
        <v>3306.978581116</v>
      </c>
      <c r="I41" s="55">
        <v>3480.1509780469996</v>
      </c>
      <c r="J41" s="55">
        <v>3388.0764996170001</v>
      </c>
      <c r="K41" s="55">
        <v>3601.6109359749998</v>
      </c>
      <c r="L41" s="55">
        <v>3672.139031578</v>
      </c>
      <c r="M41" s="55">
        <v>4005.9364354269997</v>
      </c>
      <c r="N41" s="55">
        <v>3563.3612959339998</v>
      </c>
    </row>
    <row r="42" spans="1:14" ht="15" customHeight="1">
      <c r="A42" s="54" t="s">
        <v>73</v>
      </c>
      <c r="B42" s="60">
        <f t="shared" si="0"/>
        <v>9290.1349806819999</v>
      </c>
      <c r="C42" s="55">
        <v>288.99047999999999</v>
      </c>
      <c r="D42" s="55">
        <v>387.76578000000001</v>
      </c>
      <c r="E42" s="55">
        <v>308.43236999999999</v>
      </c>
      <c r="F42" s="55">
        <v>538.04581014099995</v>
      </c>
      <c r="G42" s="55">
        <v>775.42059587099993</v>
      </c>
      <c r="H42" s="55">
        <v>873.919311935</v>
      </c>
      <c r="I42" s="55">
        <v>892.16495478499996</v>
      </c>
      <c r="J42" s="55">
        <v>946.37439728100003</v>
      </c>
      <c r="K42" s="55">
        <v>1198.2750240209998</v>
      </c>
      <c r="L42" s="55">
        <v>999.92972578600006</v>
      </c>
      <c r="M42" s="55">
        <v>997.26401030600005</v>
      </c>
      <c r="N42" s="55">
        <v>1083.552520556</v>
      </c>
    </row>
    <row r="43" spans="1:14" ht="15" customHeight="1">
      <c r="A43" s="54" t="s">
        <v>74</v>
      </c>
      <c r="B43" s="60">
        <f t="shared" si="0"/>
        <v>1708651.15525654</v>
      </c>
      <c r="C43" s="55">
        <v>89936.299750000006</v>
      </c>
      <c r="D43" s="55">
        <v>97190.930250000005</v>
      </c>
      <c r="E43" s="55">
        <v>122662.60825</v>
      </c>
      <c r="F43" s="55">
        <v>110324.43660468901</v>
      </c>
      <c r="G43" s="55">
        <v>127952.468872917</v>
      </c>
      <c r="H43" s="55">
        <v>166117.33297519499</v>
      </c>
      <c r="I43" s="55">
        <v>158227.62751223901</v>
      </c>
      <c r="J43" s="55">
        <v>167100.34754395898</v>
      </c>
      <c r="K43" s="55">
        <v>174018.38070637599</v>
      </c>
      <c r="L43" s="55">
        <v>179971.75625549202</v>
      </c>
      <c r="M43" s="55">
        <v>176345.04815887098</v>
      </c>
      <c r="N43" s="55">
        <v>138803.918376802</v>
      </c>
    </row>
    <row r="44" spans="1:14" ht="15" customHeight="1">
      <c r="A44" s="54" t="s">
        <v>75</v>
      </c>
      <c r="B44" s="60">
        <f t="shared" si="0"/>
        <v>2002572.195457384</v>
      </c>
      <c r="C44" s="55">
        <v>161877.81</v>
      </c>
      <c r="D44" s="55">
        <v>164302.84290000002</v>
      </c>
      <c r="E44" s="55">
        <v>163177.78258</v>
      </c>
      <c r="F44" s="55">
        <v>172507.374987163</v>
      </c>
      <c r="G44" s="55">
        <v>173798.24520576798</v>
      </c>
      <c r="H44" s="55">
        <v>165996.62635141599</v>
      </c>
      <c r="I44" s="55">
        <v>169865.16343489799</v>
      </c>
      <c r="J44" s="55">
        <v>164890.71349594701</v>
      </c>
      <c r="K44" s="55">
        <v>168530.19275678598</v>
      </c>
      <c r="L44" s="55">
        <v>166608.821992112</v>
      </c>
      <c r="M44" s="55">
        <v>166210.68492605002</v>
      </c>
      <c r="N44" s="55">
        <v>164805.936827244</v>
      </c>
    </row>
    <row r="45" spans="1:14" ht="15" customHeight="1">
      <c r="A45" s="54" t="s">
        <v>76</v>
      </c>
      <c r="B45" s="60">
        <f t="shared" si="0"/>
        <v>1016015.3291103101</v>
      </c>
      <c r="C45" s="55">
        <v>89540.746569999988</v>
      </c>
      <c r="D45" s="55">
        <v>87438.12285</v>
      </c>
      <c r="E45" s="55">
        <v>87469.886750000005</v>
      </c>
      <c r="F45" s="55">
        <v>87968.201905399997</v>
      </c>
      <c r="G45" s="55">
        <v>85202.039683335999</v>
      </c>
      <c r="H45" s="55">
        <v>83556.753655282999</v>
      </c>
      <c r="I45" s="55">
        <v>84823.600004904001</v>
      </c>
      <c r="J45" s="55">
        <v>81662.190624615992</v>
      </c>
      <c r="K45" s="55">
        <v>81987.155232484991</v>
      </c>
      <c r="L45" s="55">
        <v>82659.005047619998</v>
      </c>
      <c r="M45" s="55">
        <v>81308.706746130003</v>
      </c>
      <c r="N45" s="55">
        <v>82398.920040536002</v>
      </c>
    </row>
    <row r="46" spans="1:14" ht="15" customHeight="1">
      <c r="A46" s="54" t="s">
        <v>77</v>
      </c>
      <c r="B46" s="60">
        <f t="shared" si="0"/>
        <v>60026.518264485989</v>
      </c>
      <c r="C46" s="55">
        <v>5125.7668300000005</v>
      </c>
      <c r="D46" s="55">
        <v>4672.4675999999999</v>
      </c>
      <c r="E46" s="55">
        <v>4965.11085</v>
      </c>
      <c r="F46" s="55">
        <v>4527.669704983</v>
      </c>
      <c r="G46" s="55">
        <v>4851.8546460239995</v>
      </c>
      <c r="H46" s="55">
        <v>4794.3542140170002</v>
      </c>
      <c r="I46" s="55">
        <v>4623.9525880860001</v>
      </c>
      <c r="J46" s="55">
        <v>4762.6646401540002</v>
      </c>
      <c r="K46" s="55">
        <v>5394.5916417889994</v>
      </c>
      <c r="L46" s="55">
        <v>5553.4128070099996</v>
      </c>
      <c r="M46" s="55">
        <v>5671.2563439189998</v>
      </c>
      <c r="N46" s="55">
        <v>5083.4163985040004</v>
      </c>
    </row>
    <row r="47" spans="1:14" ht="15" customHeight="1">
      <c r="A47" s="54" t="s">
        <v>78</v>
      </c>
      <c r="B47" s="60">
        <f t="shared" si="0"/>
        <v>833683.45328929496</v>
      </c>
      <c r="C47" s="55">
        <v>34912.02936</v>
      </c>
      <c r="D47" s="55">
        <v>52788.841630000003</v>
      </c>
      <c r="E47" s="55">
        <v>105673.15531</v>
      </c>
      <c r="F47" s="55">
        <v>64812.758297938999</v>
      </c>
      <c r="G47" s="55">
        <v>65125.109383752002</v>
      </c>
      <c r="H47" s="55">
        <v>69681.821395521998</v>
      </c>
      <c r="I47" s="55">
        <v>55452.919522237004</v>
      </c>
      <c r="J47" s="55">
        <v>71112.030151466999</v>
      </c>
      <c r="K47" s="55">
        <v>77297.962781249007</v>
      </c>
      <c r="L47" s="55">
        <v>78388.001304303005</v>
      </c>
      <c r="M47" s="55">
        <v>77582.786736680006</v>
      </c>
      <c r="N47" s="55">
        <v>80856.037416145991</v>
      </c>
    </row>
    <row r="48" spans="1:14" ht="15" customHeight="1">
      <c r="A48" s="54" t="s">
        <v>79</v>
      </c>
      <c r="B48" s="60">
        <f t="shared" si="0"/>
        <v>69710.553320550011</v>
      </c>
      <c r="C48" s="55">
        <v>4280.3977699999996</v>
      </c>
      <c r="D48" s="55">
        <v>4110.4362099999998</v>
      </c>
      <c r="E48" s="55">
        <v>5229.5575399999998</v>
      </c>
      <c r="F48" s="55">
        <v>4540.3412010980001</v>
      </c>
      <c r="G48" s="55">
        <v>5369.2906533239993</v>
      </c>
      <c r="H48" s="55">
        <v>6218.4556784650003</v>
      </c>
      <c r="I48" s="55">
        <v>6420.7547576200004</v>
      </c>
      <c r="J48" s="55">
        <v>6300.7154279750002</v>
      </c>
      <c r="K48" s="55">
        <v>6597.2887120679998</v>
      </c>
      <c r="L48" s="55">
        <v>6777.9200063770004</v>
      </c>
      <c r="M48" s="55">
        <v>6915.7243662289993</v>
      </c>
      <c r="N48" s="55">
        <v>6949.6709973940006</v>
      </c>
    </row>
    <row r="49" spans="1:14" ht="15" customHeight="1">
      <c r="A49" s="54" t="s">
        <v>80</v>
      </c>
      <c r="B49" s="60">
        <f t="shared" si="0"/>
        <v>145611.003630672</v>
      </c>
      <c r="C49" s="55">
        <v>8821.3109299999996</v>
      </c>
      <c r="D49" s="55">
        <v>9265.5127300000004</v>
      </c>
      <c r="E49" s="55">
        <v>10944.678460000001</v>
      </c>
      <c r="F49" s="55">
        <v>9767.7826674890002</v>
      </c>
      <c r="G49" s="55">
        <v>11838.059795119001</v>
      </c>
      <c r="H49" s="55">
        <v>10876.203498819999</v>
      </c>
      <c r="I49" s="55">
        <v>11690.627671339</v>
      </c>
      <c r="J49" s="55">
        <v>11692.545471807</v>
      </c>
      <c r="K49" s="55">
        <v>14077.770343589</v>
      </c>
      <c r="L49" s="55">
        <v>14458.426549117999</v>
      </c>
      <c r="M49" s="55">
        <v>14398.412762632999</v>
      </c>
      <c r="N49" s="55">
        <v>17779.672750758</v>
      </c>
    </row>
    <row r="50" spans="1:14" ht="15" customHeight="1">
      <c r="A50" s="54" t="s">
        <v>81</v>
      </c>
      <c r="B50" s="60">
        <f t="shared" si="0"/>
        <v>98426.238358014991</v>
      </c>
      <c r="C50" s="55">
        <v>7084.0159299999996</v>
      </c>
      <c r="D50" s="55">
        <v>6985.1501600000001</v>
      </c>
      <c r="E50" s="55">
        <v>7749.0140599999995</v>
      </c>
      <c r="F50" s="55">
        <v>7399.9313796349998</v>
      </c>
      <c r="G50" s="55">
        <v>7401.6963160899995</v>
      </c>
      <c r="H50" s="55">
        <v>7942.866321597</v>
      </c>
      <c r="I50" s="55">
        <v>8247.8329434490006</v>
      </c>
      <c r="J50" s="55">
        <v>8417.9980508680001</v>
      </c>
      <c r="K50" s="55">
        <v>9543.4078407819998</v>
      </c>
      <c r="L50" s="55">
        <v>9545.0360999780005</v>
      </c>
      <c r="M50" s="55">
        <v>8721.0581972470009</v>
      </c>
      <c r="N50" s="55">
        <v>9388.2310583689996</v>
      </c>
    </row>
    <row r="51" spans="1:14" ht="15" customHeight="1">
      <c r="A51" s="54" t="s">
        <v>82</v>
      </c>
      <c r="B51" s="60">
        <f t="shared" si="0"/>
        <v>320982.57620878203</v>
      </c>
      <c r="C51" s="55">
        <v>21793.747199999998</v>
      </c>
      <c r="D51" s="55">
        <v>21858.636300000002</v>
      </c>
      <c r="E51" s="55">
        <v>26355.953079999999</v>
      </c>
      <c r="F51" s="55">
        <v>23269.003975166001</v>
      </c>
      <c r="G51" s="55">
        <v>25926.41136383</v>
      </c>
      <c r="H51" s="55">
        <v>26754.09657034</v>
      </c>
      <c r="I51" s="55">
        <v>26555.04938172</v>
      </c>
      <c r="J51" s="55">
        <v>27572.078514308003</v>
      </c>
      <c r="K51" s="55">
        <v>29071.801556145001</v>
      </c>
      <c r="L51" s="55">
        <v>30548.773136930999</v>
      </c>
      <c r="M51" s="55">
        <v>30327.048310777998</v>
      </c>
      <c r="N51" s="55">
        <v>30949.976819563999</v>
      </c>
    </row>
    <row r="52" spans="1:14" ht="15" customHeight="1">
      <c r="A52" s="54" t="s">
        <v>83</v>
      </c>
      <c r="B52" s="60">
        <f t="shared" si="0"/>
        <v>3915.1284244009994</v>
      </c>
      <c r="C52" s="55">
        <v>1200.61475</v>
      </c>
      <c r="D52" s="55">
        <v>237.55744000000001</v>
      </c>
      <c r="E52" s="55">
        <v>-124.11424000000001</v>
      </c>
      <c r="F52" s="55">
        <v>241.25477466200002</v>
      </c>
      <c r="G52" s="55">
        <v>238.25477466200002</v>
      </c>
      <c r="H52" s="55">
        <v>240.47219211000001</v>
      </c>
      <c r="I52" s="55">
        <v>268.70556372699997</v>
      </c>
      <c r="J52" s="55">
        <v>252.96129567</v>
      </c>
      <c r="K52" s="55">
        <v>257.769036078</v>
      </c>
      <c r="L52" s="55">
        <v>363.02448112999997</v>
      </c>
      <c r="M52" s="55">
        <v>362.66351540199997</v>
      </c>
      <c r="N52" s="55">
        <v>375.96484096</v>
      </c>
    </row>
    <row r="53" spans="1:14" ht="15" customHeight="1">
      <c r="A53" s="54" t="s">
        <v>84</v>
      </c>
      <c r="B53" s="60">
        <f t="shared" si="0"/>
        <v>-9059.6088600000003</v>
      </c>
      <c r="C53" s="55">
        <v>-8933.02549</v>
      </c>
      <c r="D53" s="55">
        <v>0.26</v>
      </c>
      <c r="E53" s="55">
        <v>-126.84336999999999</v>
      </c>
      <c r="F53" s="55"/>
      <c r="G53" s="55"/>
      <c r="H53" s="55"/>
      <c r="I53" s="55"/>
      <c r="J53" s="55"/>
      <c r="K53" s="55"/>
      <c r="L53" s="55"/>
      <c r="M53" s="55"/>
      <c r="N53" s="55"/>
    </row>
    <row r="54" spans="1:14" ht="15.9" customHeight="1">
      <c r="A54" s="56" t="s">
        <v>87</v>
      </c>
      <c r="B54" s="60">
        <f t="shared" si="0"/>
        <v>3992544.1543540205</v>
      </c>
      <c r="C54" s="57">
        <v>41719.161314284029</v>
      </c>
      <c r="D54" s="57">
        <v>12126.319136501013</v>
      </c>
      <c r="E54" s="57">
        <v>-56349.127278300046</v>
      </c>
      <c r="F54" s="57">
        <v>10771.239995878041</v>
      </c>
      <c r="G54" s="57">
        <v>509609.21346133196</v>
      </c>
      <c r="H54" s="57">
        <v>515458.35809940699</v>
      </c>
      <c r="I54" s="57">
        <v>492086.65773240698</v>
      </c>
      <c r="J54" s="57">
        <v>496433.27720850299</v>
      </c>
      <c r="K54" s="57">
        <v>496401.15895641898</v>
      </c>
      <c r="L54" s="57">
        <v>498546.34943199804</v>
      </c>
      <c r="M54" s="57">
        <v>488008.141868926</v>
      </c>
      <c r="N54" s="57">
        <v>487733.40442666499</v>
      </c>
    </row>
    <row r="55" spans="1:14" ht="15.9" customHeight="1">
      <c r="A55" s="58" t="s">
        <v>88</v>
      </c>
      <c r="B55" s="60">
        <f t="shared" si="0"/>
        <v>4395751.3825765485</v>
      </c>
      <c r="C55" s="59">
        <v>-8724.3542400000097</v>
      </c>
      <c r="D55" s="59">
        <v>-3638.9410299999713</v>
      </c>
      <c r="E55" s="59">
        <v>-2101.4248600000142</v>
      </c>
      <c r="F55" s="59">
        <v>6408.3276617210504</v>
      </c>
      <c r="G55" s="59">
        <v>512792.94594507397</v>
      </c>
      <c r="H55" s="59">
        <v>546359.88074581604</v>
      </c>
      <c r="I55" s="59">
        <v>530548.54931305093</v>
      </c>
      <c r="J55" s="59">
        <v>548098.69611366908</v>
      </c>
      <c r="K55" s="59">
        <v>571576.20656734298</v>
      </c>
      <c r="L55" s="59">
        <v>579546.24643743504</v>
      </c>
      <c r="M55" s="59">
        <v>572846.59050967207</v>
      </c>
      <c r="N55" s="59">
        <v>542038.65941276704</v>
      </c>
    </row>
    <row r="56" spans="1:14" ht="15.9" customHeight="1">
      <c r="A56" s="52" t="s">
        <v>89</v>
      </c>
      <c r="B56" s="60">
        <f t="shared" si="0"/>
        <v>0</v>
      </c>
      <c r="C56" s="53"/>
      <c r="D56" s="53"/>
      <c r="E56" s="53"/>
      <c r="F56" s="53"/>
      <c r="G56" s="53"/>
      <c r="H56" s="53"/>
      <c r="I56" s="53"/>
      <c r="J56" s="53"/>
      <c r="K56" s="53"/>
      <c r="L56" s="53"/>
      <c r="M56" s="53"/>
      <c r="N56" s="53"/>
    </row>
    <row r="57" spans="1:14" ht="15.9" customHeight="1">
      <c r="A57" s="52" t="s">
        <v>90</v>
      </c>
      <c r="B57" s="60">
        <f t="shared" si="0"/>
        <v>19860235.912349999</v>
      </c>
      <c r="C57" s="53">
        <v>427632.42050000001</v>
      </c>
      <c r="D57" s="53">
        <v>883137.93482999993</v>
      </c>
      <c r="E57" s="53">
        <v>1422064.4772900001</v>
      </c>
      <c r="F57" s="53">
        <v>1904145.0473199999</v>
      </c>
      <c r="G57" s="53">
        <v>1902907.0040599999</v>
      </c>
      <c r="H57" s="53">
        <v>1902907.0040599999</v>
      </c>
      <c r="I57" s="53">
        <v>1902907.0040599999</v>
      </c>
      <c r="J57" s="53">
        <v>1902907.0040599999</v>
      </c>
      <c r="K57" s="53">
        <v>1902907.0040599999</v>
      </c>
      <c r="L57" s="53">
        <v>1902907.0040599999</v>
      </c>
      <c r="M57" s="53">
        <v>1902907.0040599999</v>
      </c>
      <c r="N57" s="53">
        <v>1902907.0039900001</v>
      </c>
    </row>
    <row r="58" spans="1:14" ht="15.9" customHeight="1">
      <c r="A58" s="52" t="s">
        <v>91</v>
      </c>
      <c r="B58" s="60">
        <f t="shared" si="0"/>
        <v>38092467.164912477</v>
      </c>
      <c r="C58" s="53">
        <v>469351.58181428403</v>
      </c>
      <c r="D58" s="53">
        <v>936983.41528078506</v>
      </c>
      <c r="E58" s="53">
        <v>1419560.8304624851</v>
      </c>
      <c r="F58" s="53">
        <v>1912412.6404883631</v>
      </c>
      <c r="G58" s="53">
        <v>2420783.8106896947</v>
      </c>
      <c r="H58" s="53">
        <v>2936242.1687891022</v>
      </c>
      <c r="I58" s="53">
        <v>3428328.8265215093</v>
      </c>
      <c r="J58" s="53">
        <v>3924762.1037300117</v>
      </c>
      <c r="K58" s="53">
        <v>4421163.2626864305</v>
      </c>
      <c r="L58" s="53">
        <v>4919709.6121184295</v>
      </c>
      <c r="M58" s="53">
        <v>5407717.7539873552</v>
      </c>
      <c r="N58" s="53">
        <v>5895451.1583440201</v>
      </c>
    </row>
    <row r="59" spans="1:14" ht="15.9" customHeight="1">
      <c r="A59" s="52" t="s">
        <v>92</v>
      </c>
      <c r="B59" s="60">
        <f t="shared" si="0"/>
        <v>39315498.925737232</v>
      </c>
      <c r="C59" s="53">
        <v>418908.06625999999</v>
      </c>
      <c r="D59" s="53">
        <v>870774.63955999992</v>
      </c>
      <c r="E59" s="53">
        <v>1407599.7571599998</v>
      </c>
      <c r="F59" s="53">
        <v>1896088.6548517209</v>
      </c>
      <c r="G59" s="53">
        <v>2407643.5575367948</v>
      </c>
      <c r="H59" s="53">
        <v>2954003.4382826108</v>
      </c>
      <c r="I59" s="53">
        <v>3484551.987595662</v>
      </c>
      <c r="J59" s="53">
        <v>4032650.6837093309</v>
      </c>
      <c r="K59" s="53">
        <v>4604226.8902766742</v>
      </c>
      <c r="L59" s="53">
        <v>5183773.1367141092</v>
      </c>
      <c r="M59" s="53">
        <v>5756619.7272237819</v>
      </c>
      <c r="N59" s="53">
        <v>6298658.3865665486</v>
      </c>
    </row>
    <row r="60" spans="1:14" ht="15.9" customHeight="1">
      <c r="A60" s="52" t="s">
        <v>89</v>
      </c>
      <c r="B60" s="60">
        <f t="shared" si="0"/>
        <v>0</v>
      </c>
      <c r="C60" s="53"/>
      <c r="D60" s="53"/>
      <c r="E60" s="53"/>
      <c r="F60" s="53"/>
      <c r="G60" s="53"/>
      <c r="H60" s="53"/>
      <c r="I60" s="53"/>
      <c r="J60" s="53"/>
      <c r="K60" s="53"/>
      <c r="L60" s="53"/>
      <c r="M60" s="53"/>
      <c r="N60" s="53"/>
    </row>
    <row r="61" spans="1:14" ht="15.9" customHeight="1">
      <c r="A61" s="50" t="s">
        <v>93</v>
      </c>
      <c r="B61" s="60">
        <f t="shared" si="0"/>
        <v>0</v>
      </c>
      <c r="C61" s="51"/>
      <c r="D61" s="51"/>
      <c r="E61" s="51"/>
      <c r="F61" s="51"/>
      <c r="G61" s="51"/>
      <c r="H61" s="51"/>
      <c r="I61" s="51"/>
      <c r="J61" s="51"/>
      <c r="K61" s="51"/>
      <c r="L61" s="51"/>
      <c r="M61" s="51"/>
      <c r="N61" s="51"/>
    </row>
    <row r="62" spans="1:14" ht="15.9" customHeight="1">
      <c r="A62" s="52" t="s">
        <v>69</v>
      </c>
      <c r="B62" s="60">
        <f t="shared" si="0"/>
        <v>570573.07550000004</v>
      </c>
      <c r="C62" s="53">
        <v>76511.974849999999</v>
      </c>
      <c r="D62" s="53">
        <v>106576.58193</v>
      </c>
      <c r="E62" s="53">
        <v>99746.937209999989</v>
      </c>
      <c r="F62" s="53">
        <v>89904.729489999998</v>
      </c>
      <c r="G62" s="53">
        <v>102324.37947</v>
      </c>
      <c r="H62" s="53">
        <v>50862.483240000001</v>
      </c>
      <c r="I62" s="53">
        <v>8523.3887799999993</v>
      </c>
      <c r="J62" s="53">
        <v>8336.8122999999996</v>
      </c>
      <c r="K62" s="53">
        <v>7968.2594900000004</v>
      </c>
      <c r="L62" s="53">
        <v>7849.0383000000002</v>
      </c>
      <c r="M62" s="53">
        <v>6657.8495499999999</v>
      </c>
      <c r="N62" s="53">
        <v>5310.6408899999997</v>
      </c>
    </row>
    <row r="63" spans="1:14" ht="15" customHeight="1">
      <c r="A63" s="54" t="s">
        <v>72</v>
      </c>
      <c r="B63" s="60">
        <f t="shared" si="0"/>
        <v>248.73520000000002</v>
      </c>
      <c r="C63" s="55">
        <v>14.396450000000002</v>
      </c>
      <c r="D63" s="55">
        <v>29.151109999999999</v>
      </c>
      <c r="E63" s="55">
        <v>205.18764000000002</v>
      </c>
      <c r="F63" s="55"/>
      <c r="G63" s="55"/>
      <c r="H63" s="55"/>
      <c r="I63" s="55"/>
      <c r="J63" s="55"/>
      <c r="K63" s="55"/>
      <c r="L63" s="55"/>
      <c r="M63" s="55"/>
      <c r="N63" s="55"/>
    </row>
    <row r="64" spans="1:14" ht="15" customHeight="1">
      <c r="A64" s="54" t="s">
        <v>74</v>
      </c>
      <c r="B64" s="60">
        <f t="shared" si="0"/>
        <v>4510.2294599999977</v>
      </c>
      <c r="C64" s="55">
        <v>946.24421999999993</v>
      </c>
      <c r="D64" s="55">
        <v>103.01188</v>
      </c>
      <c r="E64" s="55">
        <v>141.01495</v>
      </c>
      <c r="F64" s="55">
        <v>2866.8955799999999</v>
      </c>
      <c r="G64" s="55">
        <v>73.291420000000002</v>
      </c>
      <c r="H64" s="55">
        <v>73.291420000000002</v>
      </c>
      <c r="I64" s="55">
        <v>73.291420000000002</v>
      </c>
      <c r="J64" s="55">
        <v>73.291409999999999</v>
      </c>
      <c r="K64" s="55">
        <v>50.841419999999999</v>
      </c>
      <c r="L64" s="55">
        <v>50.841410000000003</v>
      </c>
      <c r="M64" s="55">
        <v>50.841419999999999</v>
      </c>
      <c r="N64" s="55">
        <v>7.3729100000000001</v>
      </c>
    </row>
    <row r="65" spans="1:14" ht="15" customHeight="1">
      <c r="A65" s="54" t="s">
        <v>75</v>
      </c>
      <c r="B65" s="60">
        <f t="shared" si="0"/>
        <v>9815.0168000000012</v>
      </c>
      <c r="C65" s="55">
        <v>948.14503999999999</v>
      </c>
      <c r="D65" s="55">
        <v>565.83159000000001</v>
      </c>
      <c r="E65" s="55">
        <v>871.41030000000001</v>
      </c>
      <c r="F65" s="55">
        <v>361.67678999999998</v>
      </c>
      <c r="G65" s="55">
        <v>7067.9530800000002</v>
      </c>
      <c r="H65" s="55"/>
      <c r="I65" s="55"/>
      <c r="J65" s="55"/>
      <c r="K65" s="55"/>
      <c r="L65" s="55"/>
      <c r="M65" s="55"/>
      <c r="N65" s="55"/>
    </row>
    <row r="66" spans="1:14" ht="15" customHeight="1">
      <c r="A66" s="54" t="s">
        <v>76</v>
      </c>
      <c r="B66" s="60">
        <f t="shared" si="0"/>
        <v>786.40946000000008</v>
      </c>
      <c r="C66" s="55">
        <v>87.392880000000005</v>
      </c>
      <c r="D66" s="55">
        <v>186.01307999999997</v>
      </c>
      <c r="E66" s="55">
        <v>68.777450000000002</v>
      </c>
      <c r="F66" s="55">
        <v>422.77244999999999</v>
      </c>
      <c r="G66" s="55">
        <v>21.453599999999998</v>
      </c>
      <c r="H66" s="55"/>
      <c r="I66" s="55"/>
      <c r="J66" s="55"/>
      <c r="K66" s="55"/>
      <c r="L66" s="55"/>
      <c r="M66" s="55"/>
      <c r="N66" s="55"/>
    </row>
    <row r="67" spans="1:14" ht="15" customHeight="1">
      <c r="A67" s="54" t="s">
        <v>77</v>
      </c>
      <c r="B67" s="60">
        <f t="shared" si="0"/>
        <v>4.22</v>
      </c>
      <c r="C67" s="55"/>
      <c r="D67" s="55"/>
      <c r="E67" s="55">
        <v>4.22</v>
      </c>
      <c r="F67" s="55"/>
      <c r="G67" s="55"/>
      <c r="H67" s="55"/>
      <c r="I67" s="55"/>
      <c r="J67" s="55"/>
      <c r="K67" s="55"/>
      <c r="L67" s="55"/>
      <c r="M67" s="55"/>
      <c r="N67" s="55"/>
    </row>
    <row r="68" spans="1:14" ht="15" customHeight="1">
      <c r="A68" s="54" t="s">
        <v>78</v>
      </c>
      <c r="B68" s="60">
        <f t="shared" si="0"/>
        <v>210828.27764000001</v>
      </c>
      <c r="C68" s="55">
        <v>18294.512859999999</v>
      </c>
      <c r="D68" s="55">
        <v>45316.782049999994</v>
      </c>
      <c r="E68" s="55">
        <v>28478.886200000001</v>
      </c>
      <c r="F68" s="55">
        <v>26424.559280000001</v>
      </c>
      <c r="G68" s="55">
        <v>39265.96645</v>
      </c>
      <c r="H68" s="55">
        <v>9570.7863500000003</v>
      </c>
      <c r="I68" s="55">
        <v>8306.309870000001</v>
      </c>
      <c r="J68" s="55">
        <v>8119.7334099999998</v>
      </c>
      <c r="K68" s="55">
        <v>7773.63058</v>
      </c>
      <c r="L68" s="55">
        <v>7654.4094299999997</v>
      </c>
      <c r="M68" s="55">
        <v>6463.2206399999995</v>
      </c>
      <c r="N68" s="55">
        <v>5159.4805199999992</v>
      </c>
    </row>
    <row r="69" spans="1:14" ht="15" customHeight="1">
      <c r="A69" s="54" t="s">
        <v>79</v>
      </c>
      <c r="B69" s="60">
        <f t="shared" si="0"/>
        <v>3308.581450000001</v>
      </c>
      <c r="C69" s="55">
        <v>336.11965999999995</v>
      </c>
      <c r="D69" s="55">
        <v>683.26136999999994</v>
      </c>
      <c r="E69" s="55">
        <v>1415.5710300000001</v>
      </c>
      <c r="F69" s="55">
        <v>723.13126</v>
      </c>
      <c r="G69" s="55">
        <v>98.887429999999995</v>
      </c>
      <c r="H69" s="55">
        <v>7.37296</v>
      </c>
      <c r="I69" s="55">
        <v>7.37296</v>
      </c>
      <c r="J69" s="55">
        <v>7.37296</v>
      </c>
      <c r="K69" s="55">
        <v>7.37296</v>
      </c>
      <c r="L69" s="55">
        <v>7.3729499999999994</v>
      </c>
      <c r="M69" s="55">
        <v>7.37296</v>
      </c>
      <c r="N69" s="55">
        <v>7.3729499999999994</v>
      </c>
    </row>
    <row r="70" spans="1:14" ht="15" customHeight="1">
      <c r="A70" s="54" t="s">
        <v>80</v>
      </c>
      <c r="B70" s="60">
        <f t="shared" si="0"/>
        <v>39209.409869999996</v>
      </c>
      <c r="C70" s="55">
        <v>7326.0271199999997</v>
      </c>
      <c r="D70" s="55">
        <v>5893.2392</v>
      </c>
      <c r="E70" s="55">
        <v>12164.49207</v>
      </c>
      <c r="F70" s="55">
        <v>11543.429330000001</v>
      </c>
      <c r="G70" s="55">
        <v>2098.0828700000002</v>
      </c>
      <c r="H70" s="55">
        <v>33.241769999999995</v>
      </c>
      <c r="I70" s="55">
        <v>25.14959</v>
      </c>
      <c r="J70" s="55">
        <v>25.14958</v>
      </c>
      <c r="K70" s="55">
        <v>25.14959</v>
      </c>
      <c r="L70" s="55">
        <v>25.14958</v>
      </c>
      <c r="M70" s="55">
        <v>25.14959</v>
      </c>
      <c r="N70" s="55">
        <v>25.14958</v>
      </c>
    </row>
    <row r="71" spans="1:14" ht="15" customHeight="1">
      <c r="A71" s="54" t="s">
        <v>81</v>
      </c>
      <c r="B71" s="60">
        <f t="shared" si="0"/>
        <v>499.91692000000018</v>
      </c>
      <c r="C71" s="55">
        <v>26.264939999999999</v>
      </c>
      <c r="D71" s="55">
        <v>54.424939999999999</v>
      </c>
      <c r="E71" s="55">
        <v>149.08760000000001</v>
      </c>
      <c r="F71" s="55">
        <v>26.264939999999999</v>
      </c>
      <c r="G71" s="55">
        <v>60.019940000000005</v>
      </c>
      <c r="H71" s="55">
        <v>26.264939999999999</v>
      </c>
      <c r="I71" s="55">
        <v>26.264939999999999</v>
      </c>
      <c r="J71" s="55">
        <v>26.264939999999999</v>
      </c>
      <c r="K71" s="55">
        <v>26.264939999999999</v>
      </c>
      <c r="L71" s="55">
        <v>26.26493</v>
      </c>
      <c r="M71" s="55">
        <v>26.264939999999999</v>
      </c>
      <c r="N71" s="55">
        <v>26.26493</v>
      </c>
    </row>
    <row r="72" spans="1:14" ht="15" customHeight="1">
      <c r="A72" s="54" t="s">
        <v>82</v>
      </c>
      <c r="B72" s="60">
        <f t="shared" si="0"/>
        <v>307517.53989000001</v>
      </c>
      <c r="C72" s="55">
        <v>55419.826300000001</v>
      </c>
      <c r="D72" s="55">
        <v>53744.866710000002</v>
      </c>
      <c r="E72" s="55">
        <v>54800.660710000004</v>
      </c>
      <c r="F72" s="55">
        <v>48761.767869999996</v>
      </c>
      <c r="G72" s="55">
        <v>53128.892500000002</v>
      </c>
      <c r="H72" s="55">
        <v>41151.525799999996</v>
      </c>
      <c r="I72" s="55">
        <v>85</v>
      </c>
      <c r="J72" s="55">
        <v>85</v>
      </c>
      <c r="K72" s="55">
        <v>85</v>
      </c>
      <c r="L72" s="55">
        <v>85</v>
      </c>
      <c r="M72" s="55">
        <v>85</v>
      </c>
      <c r="N72" s="55">
        <v>85</v>
      </c>
    </row>
    <row r="73" spans="1:14" ht="15" customHeight="1">
      <c r="A73" s="54" t="s">
        <v>83</v>
      </c>
      <c r="B73" s="60">
        <f t="shared" si="0"/>
        <v>2030.96226</v>
      </c>
      <c r="C73" s="55">
        <v>1.49783</v>
      </c>
      <c r="D73" s="55"/>
      <c r="E73" s="55">
        <v>1447.6292599999999</v>
      </c>
      <c r="F73" s="55">
        <v>7.9529899999999998</v>
      </c>
      <c r="G73" s="55">
        <v>573.88218000000006</v>
      </c>
      <c r="H73" s="55"/>
      <c r="I73" s="55"/>
      <c r="J73" s="55"/>
      <c r="K73" s="55"/>
      <c r="L73" s="55"/>
      <c r="M73" s="55"/>
      <c r="N73" s="55"/>
    </row>
    <row r="74" spans="1:14" ht="15" customHeight="1">
      <c r="A74" s="54" t="s">
        <v>84</v>
      </c>
      <c r="B74" s="60">
        <f t="shared" si="0"/>
        <v>-8186.2234500000004</v>
      </c>
      <c r="C74" s="55">
        <v>-6888.4524499999998</v>
      </c>
      <c r="D74" s="55"/>
      <c r="E74" s="55"/>
      <c r="F74" s="55">
        <v>-1233.721</v>
      </c>
      <c r="G74" s="55">
        <v>-64.05</v>
      </c>
      <c r="H74" s="55"/>
      <c r="I74" s="55"/>
      <c r="J74" s="55"/>
      <c r="K74" s="55"/>
      <c r="L74" s="55"/>
      <c r="M74" s="55"/>
      <c r="N74" s="55"/>
    </row>
    <row r="75" spans="1:14" ht="15.9" customHeight="1">
      <c r="A75" s="52" t="s">
        <v>85</v>
      </c>
      <c r="B75" s="60">
        <f t="shared" si="0"/>
        <v>1474468.670383052</v>
      </c>
      <c r="C75" s="53">
        <v>108863.83565126199</v>
      </c>
      <c r="D75" s="53">
        <v>112612.07444912501</v>
      </c>
      <c r="E75" s="53">
        <v>115751.53072335801</v>
      </c>
      <c r="F75" s="53">
        <v>137068.83114602699</v>
      </c>
      <c r="G75" s="53">
        <v>118659.74962730099</v>
      </c>
      <c r="H75" s="53">
        <v>124005.23599146699</v>
      </c>
      <c r="I75" s="53">
        <v>112069.39591751399</v>
      </c>
      <c r="J75" s="53">
        <v>127655.25067114701</v>
      </c>
      <c r="K75" s="53">
        <v>119957.870532753</v>
      </c>
      <c r="L75" s="53">
        <v>112458.171779439</v>
      </c>
      <c r="M75" s="53">
        <v>139014.94189164598</v>
      </c>
      <c r="N75" s="53">
        <v>146351.782002013</v>
      </c>
    </row>
    <row r="76" spans="1:14" ht="15" customHeight="1">
      <c r="A76" s="54" t="s">
        <v>72</v>
      </c>
      <c r="B76" s="60">
        <f t="shared" si="0"/>
        <v>1150.0000000030004</v>
      </c>
      <c r="C76" s="55">
        <v>3.4364213500000003</v>
      </c>
      <c r="D76" s="55">
        <v>0.19780493000000002</v>
      </c>
      <c r="E76" s="55">
        <v>0.34265678599999999</v>
      </c>
      <c r="F76" s="55">
        <v>74.782808908000007</v>
      </c>
      <c r="G76" s="55">
        <v>509.450893683</v>
      </c>
      <c r="H76" s="55">
        <v>77.695144558999999</v>
      </c>
      <c r="I76" s="55">
        <v>65.490982580999997</v>
      </c>
      <c r="J76" s="55">
        <v>12.339064479999999</v>
      </c>
      <c r="K76" s="55">
        <v>19.911488980999998</v>
      </c>
      <c r="L76" s="55">
        <v>0.34393064000000001</v>
      </c>
      <c r="M76" s="55">
        <v>0.60601738900000002</v>
      </c>
      <c r="N76" s="55">
        <v>385.40278571600004</v>
      </c>
    </row>
    <row r="77" spans="1:14" ht="15" customHeight="1">
      <c r="A77" s="54" t="s">
        <v>74</v>
      </c>
      <c r="B77" s="60">
        <f t="shared" si="0"/>
        <v>2900</v>
      </c>
      <c r="C77" s="55"/>
      <c r="D77" s="55"/>
      <c r="E77" s="55"/>
      <c r="F77" s="55">
        <v>825</v>
      </c>
      <c r="G77" s="55"/>
      <c r="H77" s="55"/>
      <c r="I77" s="55">
        <v>725</v>
      </c>
      <c r="J77" s="55">
        <v>100</v>
      </c>
      <c r="K77" s="55"/>
      <c r="L77" s="55">
        <v>625</v>
      </c>
      <c r="M77" s="55"/>
      <c r="N77" s="55">
        <v>625</v>
      </c>
    </row>
    <row r="78" spans="1:14" ht="15" customHeight="1">
      <c r="A78" s="54" t="s">
        <v>75</v>
      </c>
      <c r="B78" s="60">
        <f t="shared" si="0"/>
        <v>7207.6666666680003</v>
      </c>
      <c r="C78" s="55"/>
      <c r="D78" s="55">
        <v>10</v>
      </c>
      <c r="E78" s="55">
        <v>553.41666666700007</v>
      </c>
      <c r="F78" s="55">
        <v>574.41666666700007</v>
      </c>
      <c r="G78" s="55">
        <v>590</v>
      </c>
      <c r="H78" s="55">
        <v>569.41666666700007</v>
      </c>
      <c r="I78" s="55">
        <v>558</v>
      </c>
      <c r="J78" s="55">
        <v>750.41666666700007</v>
      </c>
      <c r="K78" s="55">
        <v>757</v>
      </c>
      <c r="L78" s="55">
        <v>1192</v>
      </c>
      <c r="M78" s="55">
        <v>741</v>
      </c>
      <c r="N78" s="55">
        <v>912</v>
      </c>
    </row>
    <row r="79" spans="1:14" ht="15" customHeight="1">
      <c r="A79" s="54" t="s">
        <v>76</v>
      </c>
      <c r="B79" s="60">
        <f t="shared" si="0"/>
        <v>3882</v>
      </c>
      <c r="C79" s="55">
        <v>323.5</v>
      </c>
      <c r="D79" s="55">
        <v>323.5</v>
      </c>
      <c r="E79" s="55">
        <v>323.5</v>
      </c>
      <c r="F79" s="55">
        <v>323.5</v>
      </c>
      <c r="G79" s="55">
        <v>323.5</v>
      </c>
      <c r="H79" s="55">
        <v>323.5</v>
      </c>
      <c r="I79" s="55">
        <v>323.5</v>
      </c>
      <c r="J79" s="55">
        <v>323.5</v>
      </c>
      <c r="K79" s="55">
        <v>323.5</v>
      </c>
      <c r="L79" s="55">
        <v>323.5</v>
      </c>
      <c r="M79" s="55">
        <v>323.5</v>
      </c>
      <c r="N79" s="55">
        <v>323.5</v>
      </c>
    </row>
    <row r="80" spans="1:14" ht="15" customHeight="1">
      <c r="A80" s="54" t="s">
        <v>77</v>
      </c>
      <c r="B80" s="60">
        <f t="shared" si="0"/>
        <v>2430.0000000039995</v>
      </c>
      <c r="C80" s="55">
        <v>71.666666667000001</v>
      </c>
      <c r="D80" s="55">
        <v>71.666666667000001</v>
      </c>
      <c r="E80" s="55">
        <v>71.666666667000001</v>
      </c>
      <c r="F80" s="55">
        <v>71.666666667000001</v>
      </c>
      <c r="G80" s="55">
        <v>71.666666667000001</v>
      </c>
      <c r="H80" s="55">
        <v>71.666666667000001</v>
      </c>
      <c r="I80" s="55">
        <v>71.666666667000001</v>
      </c>
      <c r="J80" s="55">
        <v>71.666666667000001</v>
      </c>
      <c r="K80" s="55">
        <v>71.666666667000001</v>
      </c>
      <c r="L80" s="55">
        <v>71.666666667000001</v>
      </c>
      <c r="M80" s="55">
        <v>1641.6666666669998</v>
      </c>
      <c r="N80" s="55">
        <v>71.666666667000001</v>
      </c>
    </row>
    <row r="81" spans="1:14" ht="15" customHeight="1">
      <c r="A81" s="54" t="s">
        <v>78</v>
      </c>
      <c r="B81" s="60">
        <f t="shared" si="0"/>
        <v>466449.5999999519</v>
      </c>
      <c r="C81" s="55">
        <v>31884.226513656999</v>
      </c>
      <c r="D81" s="55">
        <v>31925.888448808</v>
      </c>
      <c r="E81" s="55">
        <v>38171.111993487997</v>
      </c>
      <c r="F81" s="55">
        <v>50476.311578781999</v>
      </c>
      <c r="G81" s="55">
        <v>31721.959462052</v>
      </c>
      <c r="H81" s="55">
        <v>38309.135353234</v>
      </c>
      <c r="I81" s="55">
        <v>31376.999999995998</v>
      </c>
      <c r="J81" s="55">
        <v>50437.920605201994</v>
      </c>
      <c r="K81" s="55">
        <v>38337.108011860997</v>
      </c>
      <c r="L81" s="55">
        <v>33504.356922410996</v>
      </c>
      <c r="M81" s="55">
        <v>51138.412078708003</v>
      </c>
      <c r="N81" s="55">
        <v>39166.169031753001</v>
      </c>
    </row>
    <row r="82" spans="1:14" ht="15" customHeight="1">
      <c r="A82" s="54" t="s">
        <v>79</v>
      </c>
      <c r="B82" s="60">
        <f t="shared" si="0"/>
        <v>28769.999999996005</v>
      </c>
      <c r="C82" s="55">
        <v>1805.8333333330002</v>
      </c>
      <c r="D82" s="55">
        <v>1024.8333333329999</v>
      </c>
      <c r="E82" s="55">
        <v>1959.8333333330002</v>
      </c>
      <c r="F82" s="55">
        <v>2617.8333333330002</v>
      </c>
      <c r="G82" s="55">
        <v>5768.8333333329992</v>
      </c>
      <c r="H82" s="55">
        <v>5898.8333333329992</v>
      </c>
      <c r="I82" s="55">
        <v>1648.8333333330002</v>
      </c>
      <c r="J82" s="55">
        <v>1163.8333333330002</v>
      </c>
      <c r="K82" s="55">
        <v>1624.8333333330002</v>
      </c>
      <c r="L82" s="55">
        <v>1462.8333333330002</v>
      </c>
      <c r="M82" s="55">
        <v>1908.8333333330002</v>
      </c>
      <c r="N82" s="55">
        <v>1884.8333333330002</v>
      </c>
    </row>
    <row r="83" spans="1:14" ht="15" customHeight="1">
      <c r="A83" s="54" t="s">
        <v>80</v>
      </c>
      <c r="B83" s="60">
        <f t="shared" si="0"/>
        <v>174949.35372092601</v>
      </c>
      <c r="C83" s="55">
        <v>13129.589383297</v>
      </c>
      <c r="D83" s="55">
        <v>14758.629896704</v>
      </c>
      <c r="E83" s="55">
        <v>16552.416705711999</v>
      </c>
      <c r="F83" s="55">
        <v>14378.503425378</v>
      </c>
      <c r="G83" s="55">
        <v>15646.072733891999</v>
      </c>
      <c r="H83" s="55">
        <v>14911.705064325999</v>
      </c>
      <c r="I83" s="55">
        <v>13508.151952636999</v>
      </c>
      <c r="J83" s="55">
        <v>11810.428419298001</v>
      </c>
      <c r="K83" s="55">
        <v>12135.033264169</v>
      </c>
      <c r="L83" s="55">
        <v>12960.170926762999</v>
      </c>
      <c r="M83" s="55">
        <v>16614.657245719998</v>
      </c>
      <c r="N83" s="55">
        <v>18543.994703030003</v>
      </c>
    </row>
    <row r="84" spans="1:14" ht="15" customHeight="1">
      <c r="A84" s="54" t="s">
        <v>81</v>
      </c>
      <c r="B84" s="60">
        <f t="shared" si="0"/>
        <v>3700.000000001</v>
      </c>
      <c r="C84" s="55">
        <v>37.5</v>
      </c>
      <c r="D84" s="55">
        <v>266.45829905799997</v>
      </c>
      <c r="E84" s="55">
        <v>275.12603441300001</v>
      </c>
      <c r="F84" s="55">
        <v>37.5</v>
      </c>
      <c r="G84" s="55">
        <v>127.599871382</v>
      </c>
      <c r="H84" s="55">
        <v>2284.1504297230003</v>
      </c>
      <c r="I84" s="55">
        <v>37.5</v>
      </c>
      <c r="J84" s="55">
        <v>37.5</v>
      </c>
      <c r="K84" s="55">
        <v>37.5</v>
      </c>
      <c r="L84" s="55">
        <v>37.5</v>
      </c>
      <c r="M84" s="55">
        <v>190.73321687000001</v>
      </c>
      <c r="N84" s="55">
        <v>330.93214855500003</v>
      </c>
    </row>
    <row r="85" spans="1:14" ht="15" customHeight="1">
      <c r="A85" s="54" t="s">
        <v>82</v>
      </c>
      <c r="B85" s="60">
        <f t="shared" si="0"/>
        <v>773780.04999550199</v>
      </c>
      <c r="C85" s="55">
        <v>60983.083332957998</v>
      </c>
      <c r="D85" s="55">
        <v>63605.899999624999</v>
      </c>
      <c r="E85" s="55">
        <v>57219.116666292</v>
      </c>
      <c r="F85" s="55">
        <v>67064.316666291998</v>
      </c>
      <c r="G85" s="55">
        <v>63275.666666291996</v>
      </c>
      <c r="H85" s="55">
        <v>60350.799999625</v>
      </c>
      <c r="I85" s="55">
        <v>63129.2529823</v>
      </c>
      <c r="J85" s="55">
        <v>62322.645915499997</v>
      </c>
      <c r="K85" s="55">
        <v>66026.317767742003</v>
      </c>
      <c r="L85" s="55">
        <v>61655.799999625</v>
      </c>
      <c r="M85" s="55">
        <v>64663.866666292</v>
      </c>
      <c r="N85" s="55">
        <v>83483.283332958992</v>
      </c>
    </row>
    <row r="86" spans="1:14" ht="15" customHeight="1">
      <c r="A86" s="54" t="s">
        <v>83</v>
      </c>
      <c r="B86" s="60">
        <f t="shared" si="0"/>
        <v>9250</v>
      </c>
      <c r="C86" s="55">
        <v>625</v>
      </c>
      <c r="D86" s="55">
        <v>625</v>
      </c>
      <c r="E86" s="55">
        <v>625</v>
      </c>
      <c r="F86" s="55">
        <v>625</v>
      </c>
      <c r="G86" s="55">
        <v>625</v>
      </c>
      <c r="H86" s="55">
        <v>1208.3333333330002</v>
      </c>
      <c r="I86" s="55">
        <v>625</v>
      </c>
      <c r="J86" s="55">
        <v>625</v>
      </c>
      <c r="K86" s="55">
        <v>625</v>
      </c>
      <c r="L86" s="55">
        <v>625</v>
      </c>
      <c r="M86" s="55">
        <v>1791.6666666669998</v>
      </c>
      <c r="N86" s="55">
        <v>625</v>
      </c>
    </row>
    <row r="87" spans="1:14" ht="15.9" customHeight="1">
      <c r="A87" s="52" t="s">
        <v>86</v>
      </c>
      <c r="B87" s="60">
        <f t="shared" si="0"/>
        <v>1442558.7893001859</v>
      </c>
      <c r="C87" s="53">
        <v>68957.383099999992</v>
      </c>
      <c r="D87" s="53">
        <v>98953.040720000005</v>
      </c>
      <c r="E87" s="53">
        <v>102984.56476000001</v>
      </c>
      <c r="F87" s="53">
        <v>111903.084214918</v>
      </c>
      <c r="G87" s="53">
        <v>131674.22198048001</v>
      </c>
      <c r="H87" s="53">
        <v>127154.60863561</v>
      </c>
      <c r="I87" s="53">
        <v>117854.937239771</v>
      </c>
      <c r="J87" s="53">
        <v>131556.84181740601</v>
      </c>
      <c r="K87" s="53">
        <v>131051.17154203499</v>
      </c>
      <c r="L87" s="53">
        <v>128071.79470859299</v>
      </c>
      <c r="M87" s="53">
        <v>141130.88670778999</v>
      </c>
      <c r="N87" s="53">
        <v>151266.25387358299</v>
      </c>
    </row>
    <row r="88" spans="1:14" ht="15" customHeight="1">
      <c r="A88" s="54" t="s">
        <v>72</v>
      </c>
      <c r="B88" s="60">
        <f t="shared" si="0"/>
        <v>910</v>
      </c>
      <c r="C88" s="55"/>
      <c r="D88" s="55"/>
      <c r="E88" s="55"/>
      <c r="F88" s="55">
        <v>275</v>
      </c>
      <c r="G88" s="55">
        <v>75</v>
      </c>
      <c r="H88" s="55">
        <v>75</v>
      </c>
      <c r="I88" s="55"/>
      <c r="J88" s="55">
        <v>11</v>
      </c>
      <c r="K88" s="55">
        <v>20</v>
      </c>
      <c r="L88" s="55">
        <v>69</v>
      </c>
      <c r="M88" s="55">
        <v>30</v>
      </c>
      <c r="N88" s="55">
        <v>355</v>
      </c>
    </row>
    <row r="89" spans="1:14" ht="15" customHeight="1">
      <c r="A89" s="54" t="s">
        <v>74</v>
      </c>
      <c r="B89" s="60">
        <f t="shared" si="0"/>
        <v>2899.85599</v>
      </c>
      <c r="C89" s="55">
        <v>530.62474999999995</v>
      </c>
      <c r="D89" s="55">
        <v>20.12575</v>
      </c>
      <c r="E89" s="55">
        <v>-491.89451000000003</v>
      </c>
      <c r="F89" s="55">
        <v>2296</v>
      </c>
      <c r="G89" s="55">
        <v>-2255</v>
      </c>
      <c r="H89" s="55">
        <v>725</v>
      </c>
      <c r="I89" s="55"/>
      <c r="J89" s="55">
        <v>825</v>
      </c>
      <c r="K89" s="55">
        <v>625</v>
      </c>
      <c r="L89" s="55"/>
      <c r="M89" s="55">
        <v>625</v>
      </c>
      <c r="N89" s="55"/>
    </row>
    <row r="90" spans="1:14" ht="15" customHeight="1">
      <c r="A90" s="54" t="s">
        <v>75</v>
      </c>
      <c r="B90" s="60">
        <f t="shared" si="0"/>
        <v>1059</v>
      </c>
      <c r="C90" s="55"/>
      <c r="D90" s="55"/>
      <c r="E90" s="55"/>
      <c r="F90" s="55">
        <v>58</v>
      </c>
      <c r="G90" s="55">
        <v>70</v>
      </c>
      <c r="H90" s="55">
        <v>58</v>
      </c>
      <c r="I90" s="55">
        <v>10</v>
      </c>
      <c r="J90" s="55">
        <v>48</v>
      </c>
      <c r="K90" s="55">
        <v>60</v>
      </c>
      <c r="L90" s="55">
        <v>603</v>
      </c>
      <c r="M90" s="55">
        <v>72</v>
      </c>
      <c r="N90" s="55">
        <v>80</v>
      </c>
    </row>
    <row r="91" spans="1:14" ht="15" customHeight="1">
      <c r="A91" s="54" t="s">
        <v>76</v>
      </c>
      <c r="B91" s="60">
        <f t="shared" si="0"/>
        <v>905.5</v>
      </c>
      <c r="C91" s="55">
        <v>5.5</v>
      </c>
      <c r="D91" s="55"/>
      <c r="E91" s="55"/>
      <c r="F91" s="55">
        <v>100</v>
      </c>
      <c r="G91" s="55">
        <v>100</v>
      </c>
      <c r="H91" s="55">
        <v>100</v>
      </c>
      <c r="I91" s="55">
        <v>100</v>
      </c>
      <c r="J91" s="55">
        <v>100</v>
      </c>
      <c r="K91" s="55">
        <v>100</v>
      </c>
      <c r="L91" s="55">
        <v>100</v>
      </c>
      <c r="M91" s="55">
        <v>100</v>
      </c>
      <c r="N91" s="55">
        <v>100</v>
      </c>
    </row>
    <row r="92" spans="1:14" ht="15" customHeight="1">
      <c r="A92" s="54" t="s">
        <v>77</v>
      </c>
      <c r="B92" s="60">
        <f t="shared" si="0"/>
        <v>2322.2200000000003</v>
      </c>
      <c r="C92" s="55"/>
      <c r="D92" s="55"/>
      <c r="E92" s="55">
        <v>4.22</v>
      </c>
      <c r="F92" s="55">
        <v>216</v>
      </c>
      <c r="G92" s="55">
        <v>280</v>
      </c>
      <c r="H92" s="55">
        <v>216</v>
      </c>
      <c r="I92" s="55">
        <v>156</v>
      </c>
      <c r="J92" s="55">
        <v>156</v>
      </c>
      <c r="K92" s="55">
        <v>236</v>
      </c>
      <c r="L92" s="55">
        <v>236</v>
      </c>
      <c r="M92" s="55">
        <v>586</v>
      </c>
      <c r="N92" s="55">
        <v>236</v>
      </c>
    </row>
    <row r="93" spans="1:14" ht="15" customHeight="1">
      <c r="A93" s="54" t="s">
        <v>78</v>
      </c>
      <c r="B93" s="60">
        <f t="shared" ref="B93:B116" si="1">SUM(C93:N93)</f>
        <v>475849.67233999504</v>
      </c>
      <c r="C93" s="55">
        <v>12020.38812</v>
      </c>
      <c r="D93" s="55">
        <v>39549.935420000002</v>
      </c>
      <c r="E93" s="55">
        <v>33408.948799999998</v>
      </c>
      <c r="F93" s="55">
        <v>37993.044444444</v>
      </c>
      <c r="G93" s="55">
        <v>50016.044444443003</v>
      </c>
      <c r="H93" s="55">
        <v>43687.044444444</v>
      </c>
      <c r="I93" s="55">
        <v>37454.044444444</v>
      </c>
      <c r="J93" s="55">
        <v>48541.044444444997</v>
      </c>
      <c r="K93" s="55">
        <v>43189.044444444</v>
      </c>
      <c r="L93" s="55">
        <v>37365.044444443003</v>
      </c>
      <c r="M93" s="55">
        <v>48888.044444444</v>
      </c>
      <c r="N93" s="55">
        <v>43737.044444444</v>
      </c>
    </row>
    <row r="94" spans="1:14" ht="15" customHeight="1">
      <c r="A94" s="54" t="s">
        <v>79</v>
      </c>
      <c r="B94" s="60">
        <f t="shared" si="1"/>
        <v>33869.603953258003</v>
      </c>
      <c r="C94" s="55">
        <v>336.11965999999995</v>
      </c>
      <c r="D94" s="55">
        <v>683.26136999999994</v>
      </c>
      <c r="E94" s="55">
        <v>1415.5710300000001</v>
      </c>
      <c r="F94" s="55">
        <v>724</v>
      </c>
      <c r="G94" s="55">
        <v>5095</v>
      </c>
      <c r="H94" s="55">
        <v>7051.2238686300007</v>
      </c>
      <c r="I94" s="55">
        <v>3627.8270203849997</v>
      </c>
      <c r="J94" s="55">
        <v>2848</v>
      </c>
      <c r="K94" s="55">
        <v>2825.635287993</v>
      </c>
      <c r="L94" s="55">
        <v>3234.7759977290002</v>
      </c>
      <c r="M94" s="55">
        <v>2838.8721742019998</v>
      </c>
      <c r="N94" s="55">
        <v>3189.3175443190003</v>
      </c>
    </row>
    <row r="95" spans="1:14" ht="15" customHeight="1">
      <c r="A95" s="54" t="s">
        <v>80</v>
      </c>
      <c r="B95" s="60">
        <f t="shared" si="1"/>
        <v>164908.06942693202</v>
      </c>
      <c r="C95" s="55">
        <v>6292.7269500000002</v>
      </c>
      <c r="D95" s="55">
        <v>4900.4265300000006</v>
      </c>
      <c r="E95" s="55">
        <v>12264.16712</v>
      </c>
      <c r="F95" s="55">
        <v>11742.450881585</v>
      </c>
      <c r="G95" s="55">
        <v>15118.288647148</v>
      </c>
      <c r="H95" s="55">
        <v>13110.451433647</v>
      </c>
      <c r="I95" s="55">
        <v>11956.176886052999</v>
      </c>
      <c r="J95" s="55">
        <v>11412.908484072001</v>
      </c>
      <c r="K95" s="55">
        <v>16306.602920709001</v>
      </c>
      <c r="L95" s="55">
        <v>19068.085377532003</v>
      </c>
      <c r="M95" s="55">
        <v>18572.081200254997</v>
      </c>
      <c r="N95" s="55">
        <v>24163.702995930998</v>
      </c>
    </row>
    <row r="96" spans="1:14" ht="15" customHeight="1">
      <c r="A96" s="54" t="s">
        <v>81</v>
      </c>
      <c r="B96" s="60">
        <f t="shared" si="1"/>
        <v>2700.2548200000001</v>
      </c>
      <c r="C96" s="55">
        <v>26.264939999999999</v>
      </c>
      <c r="D96" s="55">
        <v>54.424939999999999</v>
      </c>
      <c r="E96" s="55">
        <v>147.56494000000001</v>
      </c>
      <c r="F96" s="55">
        <v>241</v>
      </c>
      <c r="G96" s="55">
        <v>195</v>
      </c>
      <c r="H96" s="55">
        <v>195</v>
      </c>
      <c r="I96" s="55">
        <v>195</v>
      </c>
      <c r="J96" s="55">
        <v>345</v>
      </c>
      <c r="K96" s="55">
        <v>337</v>
      </c>
      <c r="L96" s="55">
        <v>332</v>
      </c>
      <c r="M96" s="55">
        <v>332</v>
      </c>
      <c r="N96" s="55">
        <v>300</v>
      </c>
    </row>
    <row r="97" spans="1:14" ht="15" customHeight="1">
      <c r="A97" s="54" t="s">
        <v>82</v>
      </c>
      <c r="B97" s="60">
        <f t="shared" si="1"/>
        <v>754536.05113000108</v>
      </c>
      <c r="C97" s="55">
        <v>55419.826300000001</v>
      </c>
      <c r="D97" s="55">
        <v>53744.866710000002</v>
      </c>
      <c r="E97" s="55">
        <v>54788.358119999997</v>
      </c>
      <c r="F97" s="55">
        <v>58082.588888888997</v>
      </c>
      <c r="G97" s="55">
        <v>62804.888888889</v>
      </c>
      <c r="H97" s="55">
        <v>61011.888888889</v>
      </c>
      <c r="I97" s="55">
        <v>63430.888888889</v>
      </c>
      <c r="J97" s="55">
        <v>66344.888888889007</v>
      </c>
      <c r="K97" s="55">
        <v>66426.888888889007</v>
      </c>
      <c r="L97" s="55">
        <v>66138.888888889007</v>
      </c>
      <c r="M97" s="55">
        <v>68161.888888889007</v>
      </c>
      <c r="N97" s="55">
        <v>78180.188888888995</v>
      </c>
    </row>
    <row r="98" spans="1:14" ht="15" customHeight="1">
      <c r="A98" s="54" t="s">
        <v>83</v>
      </c>
      <c r="B98" s="60">
        <f t="shared" si="1"/>
        <v>8274.12709</v>
      </c>
      <c r="C98" s="55">
        <v>1.49783</v>
      </c>
      <c r="D98" s="55"/>
      <c r="E98" s="55">
        <v>1447.6292599999999</v>
      </c>
      <c r="F98" s="55">
        <v>175</v>
      </c>
      <c r="G98" s="55">
        <v>175</v>
      </c>
      <c r="H98" s="55">
        <v>925</v>
      </c>
      <c r="I98" s="55">
        <v>925</v>
      </c>
      <c r="J98" s="55">
        <v>925</v>
      </c>
      <c r="K98" s="55">
        <v>925</v>
      </c>
      <c r="L98" s="55">
        <v>925</v>
      </c>
      <c r="M98" s="55">
        <v>925</v>
      </c>
      <c r="N98" s="55">
        <v>925</v>
      </c>
    </row>
    <row r="99" spans="1:14" ht="15" customHeight="1">
      <c r="A99" s="54" t="s">
        <v>84</v>
      </c>
      <c r="B99" s="60">
        <f t="shared" si="1"/>
        <v>-5675.5654500000001</v>
      </c>
      <c r="C99" s="55">
        <v>-5675.5654500000001</v>
      </c>
      <c r="D99" s="55"/>
      <c r="E99" s="55"/>
      <c r="F99" s="55"/>
      <c r="G99" s="55"/>
      <c r="H99" s="55"/>
      <c r="I99" s="55"/>
      <c r="J99" s="55"/>
      <c r="K99" s="55"/>
      <c r="L99" s="55"/>
      <c r="M99" s="55"/>
      <c r="N99" s="55"/>
    </row>
    <row r="100" spans="1:14" ht="15.9" customHeight="1">
      <c r="A100" s="56" t="s">
        <v>87</v>
      </c>
      <c r="B100" s="60">
        <f t="shared" si="1"/>
        <v>903895.59488305193</v>
      </c>
      <c r="C100" s="57">
        <v>32351.860801262006</v>
      </c>
      <c r="D100" s="57">
        <v>6035.4925191249995</v>
      </c>
      <c r="E100" s="57">
        <v>16004.593513358011</v>
      </c>
      <c r="F100" s="57">
        <v>47164.101656027007</v>
      </c>
      <c r="G100" s="57">
        <v>16335.370157300993</v>
      </c>
      <c r="H100" s="57">
        <v>73142.752751466993</v>
      </c>
      <c r="I100" s="57">
        <v>103546.007137514</v>
      </c>
      <c r="J100" s="57">
        <v>119318.438371147</v>
      </c>
      <c r="K100" s="57">
        <v>111989.61104275301</v>
      </c>
      <c r="L100" s="57">
        <v>104609.133479439</v>
      </c>
      <c r="M100" s="57">
        <v>132357.092341646</v>
      </c>
      <c r="N100" s="57">
        <v>141041.14111201302</v>
      </c>
    </row>
    <row r="101" spans="1:14" ht="15.9" customHeight="1">
      <c r="A101" s="58" t="s">
        <v>88</v>
      </c>
      <c r="B101" s="60">
        <f t="shared" si="1"/>
        <v>871985.71380018606</v>
      </c>
      <c r="C101" s="59">
        <v>-7554.5917499999996</v>
      </c>
      <c r="D101" s="59">
        <v>-7623.5412100000085</v>
      </c>
      <c r="E101" s="59">
        <v>3237.627550000012</v>
      </c>
      <c r="F101" s="59">
        <v>21998.354724918008</v>
      </c>
      <c r="G101" s="59">
        <v>29349.842510480001</v>
      </c>
      <c r="H101" s="59">
        <v>76292.125395610012</v>
      </c>
      <c r="I101" s="59">
        <v>109331.54845977099</v>
      </c>
      <c r="J101" s="59">
        <v>123220.029517406</v>
      </c>
      <c r="K101" s="59">
        <v>123082.912052035</v>
      </c>
      <c r="L101" s="59">
        <v>120222.75640859301</v>
      </c>
      <c r="M101" s="59">
        <v>134473.03715778998</v>
      </c>
      <c r="N101" s="59">
        <v>145955.61298358301</v>
      </c>
    </row>
    <row r="102" spans="1:14" ht="15.9" customHeight="1">
      <c r="A102" s="52" t="s">
        <v>89</v>
      </c>
      <c r="B102" s="60">
        <f t="shared" si="1"/>
        <v>0</v>
      </c>
      <c r="C102" s="53"/>
      <c r="D102" s="53"/>
      <c r="E102" s="53"/>
      <c r="F102" s="53"/>
      <c r="G102" s="53"/>
      <c r="H102" s="53"/>
      <c r="I102" s="53"/>
      <c r="J102" s="53"/>
      <c r="K102" s="53"/>
      <c r="L102" s="53"/>
      <c r="M102" s="53"/>
      <c r="N102" s="53"/>
    </row>
    <row r="103" spans="1:14" ht="15.9" customHeight="1">
      <c r="A103" s="52" t="s">
        <v>90</v>
      </c>
      <c r="B103" s="60">
        <f t="shared" si="1"/>
        <v>5238601.34241</v>
      </c>
      <c r="C103" s="53">
        <v>76511.974849999999</v>
      </c>
      <c r="D103" s="53">
        <v>183088.55678000001</v>
      </c>
      <c r="E103" s="53">
        <v>282835.49398999999</v>
      </c>
      <c r="F103" s="53">
        <v>372740.22348000004</v>
      </c>
      <c r="G103" s="53">
        <v>475064.60295000003</v>
      </c>
      <c r="H103" s="53">
        <v>525927.08619000006</v>
      </c>
      <c r="I103" s="53">
        <v>534450.47496999998</v>
      </c>
      <c r="J103" s="53">
        <v>542787.28726999997</v>
      </c>
      <c r="K103" s="53">
        <v>550755.54675999994</v>
      </c>
      <c r="L103" s="53">
        <v>558604.58505999995</v>
      </c>
      <c r="M103" s="53">
        <v>565262.43460999988</v>
      </c>
      <c r="N103" s="53">
        <v>570573.07549999992</v>
      </c>
    </row>
    <row r="104" spans="1:14" ht="15.9" customHeight="1">
      <c r="A104" s="52" t="s">
        <v>91</v>
      </c>
      <c r="B104" s="60">
        <f t="shared" si="1"/>
        <v>9305828.5753774717</v>
      </c>
      <c r="C104" s="53">
        <v>108863.83565126199</v>
      </c>
      <c r="D104" s="53">
        <v>221475.910100387</v>
      </c>
      <c r="E104" s="53">
        <v>337227.44082374504</v>
      </c>
      <c r="F104" s="53">
        <v>474296.271969772</v>
      </c>
      <c r="G104" s="53">
        <v>592956.02159707295</v>
      </c>
      <c r="H104" s="53">
        <v>716961.25758853997</v>
      </c>
      <c r="I104" s="53">
        <v>829030.65350605396</v>
      </c>
      <c r="J104" s="53">
        <v>956685.90417720086</v>
      </c>
      <c r="K104" s="53">
        <v>1076643.7747099539</v>
      </c>
      <c r="L104" s="53">
        <v>1189101.946489393</v>
      </c>
      <c r="M104" s="53">
        <v>1328116.8883810388</v>
      </c>
      <c r="N104" s="53">
        <v>1474468.670383052</v>
      </c>
    </row>
    <row r="105" spans="1:14" ht="15.9" customHeight="1">
      <c r="A105" s="52" t="s">
        <v>92</v>
      </c>
      <c r="B105" s="60">
        <f t="shared" si="1"/>
        <v>8603283.4170561098</v>
      </c>
      <c r="C105" s="53">
        <v>68957.383099999992</v>
      </c>
      <c r="D105" s="53">
        <v>167910.42382</v>
      </c>
      <c r="E105" s="53">
        <v>270894.98858</v>
      </c>
      <c r="F105" s="53">
        <v>382798.07279491803</v>
      </c>
      <c r="G105" s="53">
        <v>514472.29477539804</v>
      </c>
      <c r="H105" s="53">
        <v>641626.90341100795</v>
      </c>
      <c r="I105" s="53">
        <v>759481.84065077896</v>
      </c>
      <c r="J105" s="53">
        <v>891038.68246818497</v>
      </c>
      <c r="K105" s="53">
        <v>1022089.8540102199</v>
      </c>
      <c r="L105" s="53">
        <v>1150161.648718813</v>
      </c>
      <c r="M105" s="53">
        <v>1291292.5354266029</v>
      </c>
      <c r="N105" s="53">
        <v>1442558.7893001859</v>
      </c>
    </row>
    <row r="106" spans="1:14" ht="15.9" customHeight="1">
      <c r="A106" s="52" t="s">
        <v>89</v>
      </c>
      <c r="B106" s="60">
        <f t="shared" si="1"/>
        <v>0</v>
      </c>
      <c r="C106" s="53"/>
      <c r="D106" s="53"/>
      <c r="E106" s="53"/>
      <c r="F106" s="53"/>
      <c r="G106" s="53"/>
      <c r="H106" s="53"/>
      <c r="I106" s="53"/>
      <c r="J106" s="53"/>
      <c r="K106" s="53"/>
      <c r="L106" s="53"/>
      <c r="M106" s="53"/>
      <c r="N106" s="53"/>
    </row>
    <row r="107" spans="1:14" ht="15.9" customHeight="1">
      <c r="A107" s="50" t="s">
        <v>94</v>
      </c>
      <c r="B107" s="60">
        <f t="shared" si="1"/>
        <v>0</v>
      </c>
      <c r="C107" s="51"/>
      <c r="D107" s="51"/>
      <c r="E107" s="51"/>
      <c r="F107" s="51"/>
      <c r="G107" s="51"/>
      <c r="H107" s="51"/>
      <c r="I107" s="51"/>
      <c r="J107" s="51"/>
      <c r="K107" s="51"/>
      <c r="L107" s="51"/>
      <c r="M107" s="51"/>
      <c r="N107" s="51"/>
    </row>
    <row r="108" spans="1:14" ht="15.9" customHeight="1">
      <c r="A108" s="52" t="s">
        <v>69</v>
      </c>
      <c r="B108" s="60">
        <f t="shared" si="1"/>
        <v>185725.59561999995</v>
      </c>
      <c r="C108" s="53">
        <v>28793.43707</v>
      </c>
      <c r="D108" s="53">
        <v>55366.851799999997</v>
      </c>
      <c r="E108" s="53">
        <v>52043.387390000004</v>
      </c>
      <c r="F108" s="53">
        <v>49555.442779999998</v>
      </c>
      <c r="G108" s="53">
        <v>-33.523420000000002</v>
      </c>
      <c r="H108" s="53"/>
      <c r="I108" s="53"/>
      <c r="J108" s="53"/>
      <c r="K108" s="53"/>
      <c r="L108" s="53"/>
      <c r="M108" s="53"/>
      <c r="N108" s="53"/>
    </row>
    <row r="109" spans="1:14" ht="15.9" customHeight="1">
      <c r="A109" s="52" t="s">
        <v>85</v>
      </c>
      <c r="B109" s="60">
        <f t="shared" si="1"/>
        <v>162402.69999999501</v>
      </c>
      <c r="C109" s="53">
        <v>29362.799999999002</v>
      </c>
      <c r="D109" s="53">
        <v>55537.9</v>
      </c>
      <c r="E109" s="53">
        <v>59881.099999998005</v>
      </c>
      <c r="F109" s="53">
        <v>56995.000000000997</v>
      </c>
      <c r="G109" s="53">
        <v>57994.999999995001</v>
      </c>
      <c r="H109" s="53">
        <v>23895.000000002998</v>
      </c>
      <c r="I109" s="53">
        <v>-206104.99999999799</v>
      </c>
      <c r="J109" s="53">
        <v>-96105.000000001004</v>
      </c>
      <c r="K109" s="53">
        <v>53856.999999999003</v>
      </c>
      <c r="L109" s="53">
        <v>59795</v>
      </c>
      <c r="M109" s="53">
        <v>59793.999999998006</v>
      </c>
      <c r="N109" s="53">
        <v>7499.9000000010001</v>
      </c>
    </row>
    <row r="110" spans="1:14" ht="15.9" customHeight="1">
      <c r="A110" s="52" t="s">
        <v>86</v>
      </c>
      <c r="B110" s="60">
        <f t="shared" si="1"/>
        <v>94927.867750012971</v>
      </c>
      <c r="C110" s="53">
        <v>28802.761030000001</v>
      </c>
      <c r="D110" s="53">
        <v>55484.758809999999</v>
      </c>
      <c r="E110" s="53">
        <v>51472.347909999997</v>
      </c>
      <c r="F110" s="53">
        <v>48528.999999999003</v>
      </c>
      <c r="G110" s="53">
        <v>49296.999999999003</v>
      </c>
      <c r="H110" s="53">
        <v>32297.000000002001</v>
      </c>
      <c r="I110" s="53">
        <v>-193702.999999997</v>
      </c>
      <c r="J110" s="53">
        <v>-112902.99999999801</v>
      </c>
      <c r="K110" s="53">
        <v>45258.999999998006</v>
      </c>
      <c r="L110" s="53">
        <v>52197.000000004999</v>
      </c>
      <c r="M110" s="53">
        <v>44197.000000003005</v>
      </c>
      <c r="N110" s="53">
        <v>-6001.999999998</v>
      </c>
    </row>
    <row r="111" spans="1:14" ht="15.9" customHeight="1">
      <c r="A111" s="56" t="s">
        <v>87</v>
      </c>
      <c r="B111" s="60">
        <f t="shared" si="1"/>
        <v>-23322.895620005002</v>
      </c>
      <c r="C111" s="57">
        <v>569.36292999900138</v>
      </c>
      <c r="D111" s="57">
        <v>171.04820000000299</v>
      </c>
      <c r="E111" s="57">
        <v>7837.7126099980023</v>
      </c>
      <c r="F111" s="57">
        <v>7439.5572200009974</v>
      </c>
      <c r="G111" s="57">
        <v>58028.523419994999</v>
      </c>
      <c r="H111" s="57">
        <v>23895.000000002998</v>
      </c>
      <c r="I111" s="57">
        <v>-206104.99999999799</v>
      </c>
      <c r="J111" s="57">
        <v>-96105.000000001004</v>
      </c>
      <c r="K111" s="57">
        <v>53856.999999999003</v>
      </c>
      <c r="L111" s="57">
        <v>59795</v>
      </c>
      <c r="M111" s="57">
        <v>59793.999999998006</v>
      </c>
      <c r="N111" s="57">
        <v>7499.9000000010001</v>
      </c>
    </row>
    <row r="112" spans="1:14" ht="15.9" customHeight="1">
      <c r="A112" s="58" t="s">
        <v>88</v>
      </c>
      <c r="B112" s="60">
        <f t="shared" si="1"/>
        <v>-90797.727869986978</v>
      </c>
      <c r="C112" s="59">
        <v>9.3239600000008949</v>
      </c>
      <c r="D112" s="59">
        <v>117.90701000000537</v>
      </c>
      <c r="E112" s="59">
        <v>-571.03948000000412</v>
      </c>
      <c r="F112" s="59">
        <v>-1026.4427800009996</v>
      </c>
      <c r="G112" s="59">
        <v>49330.523419999001</v>
      </c>
      <c r="H112" s="59">
        <v>32297.000000002001</v>
      </c>
      <c r="I112" s="59">
        <v>-193702.999999997</v>
      </c>
      <c r="J112" s="59">
        <v>-112902.99999999801</v>
      </c>
      <c r="K112" s="59">
        <v>45258.999999998006</v>
      </c>
      <c r="L112" s="59">
        <v>52197.000000004999</v>
      </c>
      <c r="M112" s="59">
        <v>44197.000000003005</v>
      </c>
      <c r="N112" s="59">
        <v>-6001.999999998</v>
      </c>
    </row>
    <row r="113" spans="1:14" ht="15.9" customHeight="1">
      <c r="A113" s="52" t="s">
        <v>89</v>
      </c>
      <c r="B113" s="60">
        <f t="shared" si="1"/>
        <v>0</v>
      </c>
      <c r="C113" s="53"/>
      <c r="D113" s="53"/>
      <c r="E113" s="53"/>
      <c r="F113" s="53"/>
      <c r="G113" s="53"/>
      <c r="H113" s="53"/>
      <c r="I113" s="53"/>
      <c r="J113" s="53"/>
      <c r="K113" s="53"/>
      <c r="L113" s="53"/>
      <c r="M113" s="53"/>
      <c r="N113" s="53"/>
    </row>
    <row r="114" spans="1:14" ht="15.9" customHeight="1">
      <c r="A114" s="52" t="s">
        <v>90</v>
      </c>
      <c r="B114" s="60">
        <f t="shared" si="1"/>
        <v>1920721.2862000002</v>
      </c>
      <c r="C114" s="53">
        <v>28793.43707</v>
      </c>
      <c r="D114" s="53">
        <v>84160.288870000004</v>
      </c>
      <c r="E114" s="53">
        <v>136203.67625999998</v>
      </c>
      <c r="F114" s="53">
        <v>185759.11903999999</v>
      </c>
      <c r="G114" s="53">
        <v>185725.59562000001</v>
      </c>
      <c r="H114" s="53">
        <v>185725.59562000001</v>
      </c>
      <c r="I114" s="53">
        <v>185725.59562000001</v>
      </c>
      <c r="J114" s="53">
        <v>185725.59562000001</v>
      </c>
      <c r="K114" s="53">
        <v>185725.59562000001</v>
      </c>
      <c r="L114" s="53">
        <v>185725.59562000001</v>
      </c>
      <c r="M114" s="53">
        <v>185725.59562000001</v>
      </c>
      <c r="N114" s="53">
        <v>185725.59562000001</v>
      </c>
    </row>
    <row r="115" spans="1:14" ht="15.9" customHeight="1">
      <c r="A115" s="52" t="s">
        <v>91</v>
      </c>
      <c r="B115" s="60">
        <f t="shared" si="1"/>
        <v>1511007.3999999585</v>
      </c>
      <c r="C115" s="53">
        <v>29362.799999999002</v>
      </c>
      <c r="D115" s="53">
        <v>84900.699999999008</v>
      </c>
      <c r="E115" s="53">
        <v>144781.79999999702</v>
      </c>
      <c r="F115" s="53">
        <v>201776.79999999804</v>
      </c>
      <c r="G115" s="53">
        <v>259771.79999999303</v>
      </c>
      <c r="H115" s="53">
        <v>283666.79999999603</v>
      </c>
      <c r="I115" s="53">
        <v>77561.799999998009</v>
      </c>
      <c r="J115" s="53">
        <v>-18543.200000002995</v>
      </c>
      <c r="K115" s="53">
        <v>35313.799999996008</v>
      </c>
      <c r="L115" s="53">
        <v>95108.799999996001</v>
      </c>
      <c r="M115" s="53">
        <v>154902.79999999402</v>
      </c>
      <c r="N115" s="53">
        <v>162402.69999999503</v>
      </c>
    </row>
    <row r="116" spans="1:14" ht="15.9" customHeight="1">
      <c r="A116" s="52" t="s">
        <v>92</v>
      </c>
      <c r="B116" s="60">
        <f t="shared" si="1"/>
        <v>1221190.9583700399</v>
      </c>
      <c r="C116" s="53">
        <v>28802.761030000001</v>
      </c>
      <c r="D116" s="53">
        <v>84287.519840000008</v>
      </c>
      <c r="E116" s="53">
        <v>135759.86775</v>
      </c>
      <c r="F116" s="53">
        <v>184288.86774999899</v>
      </c>
      <c r="G116" s="53">
        <v>233585.86774999797</v>
      </c>
      <c r="H116" s="53">
        <v>265882.86774999998</v>
      </c>
      <c r="I116" s="53">
        <v>72179.867750002973</v>
      </c>
      <c r="J116" s="53">
        <v>-40723.132249995026</v>
      </c>
      <c r="K116" s="53">
        <v>4535.8677500029798</v>
      </c>
      <c r="L116" s="53">
        <v>56732.867750007979</v>
      </c>
      <c r="M116" s="53">
        <v>100929.86775001098</v>
      </c>
      <c r="N116" s="53">
        <v>94927.867750012985</v>
      </c>
    </row>
    <row r="117" spans="1:14" ht="15.9" customHeight="1">
      <c r="A117" s="52" t="s">
        <v>89</v>
      </c>
      <c r="B117" s="52"/>
      <c r="C117" s="53"/>
      <c r="D117" s="53"/>
      <c r="E117" s="53"/>
      <c r="F117" s="53"/>
      <c r="G117" s="53"/>
      <c r="H117" s="53"/>
      <c r="I117" s="53"/>
      <c r="J117" s="53"/>
      <c r="K117" s="53"/>
      <c r="L117" s="53"/>
      <c r="M117" s="53"/>
      <c r="N117" s="53"/>
    </row>
  </sheetData>
  <mergeCells count="8">
    <mergeCell ref="A7:N7"/>
    <mergeCell ref="C8:N8"/>
    <mergeCell ref="A1:N1"/>
    <mergeCell ref="A2:N2"/>
    <mergeCell ref="A3:N3"/>
    <mergeCell ref="A4:N4"/>
    <mergeCell ref="A5:N5"/>
    <mergeCell ref="A6:N6"/>
  </mergeCells>
  <pageMargins left="0.7" right="0.7" top="0.75" bottom="0.75" header="0.3" footer="0.3"/>
  <pageSetup paperSize="9" orientation="portrait" r:id="rId1"/>
  <headerFooter>
    <oddHeader>&amp;L&amp;G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BC90-24F4-4A32-AE1C-CC1039752A54}">
  <sheetPr>
    <pageSetUpPr fitToPage="1"/>
  </sheetPr>
  <dimension ref="B1:D40"/>
  <sheetViews>
    <sheetView workbookViewId="0">
      <selection activeCell="B19" sqref="B19"/>
    </sheetView>
  </sheetViews>
  <sheetFormatPr defaultColWidth="8.88671875" defaultRowHeight="14.4"/>
  <cols>
    <col min="1" max="1" width="2.109375" style="72" customWidth="1"/>
    <col min="2" max="2" width="42.6640625" style="72" customWidth="1"/>
    <col min="3" max="3" width="14.109375" style="72" customWidth="1"/>
    <col min="4" max="4" width="2.109375" style="72" customWidth="1"/>
    <col min="5" max="16384" width="8.88671875" style="72"/>
  </cols>
  <sheetData>
    <row r="1" spans="2:4" ht="11.25" customHeight="1"/>
    <row r="2" spans="2:4" ht="22.5" customHeight="1">
      <c r="B2" s="91" t="s">
        <v>112</v>
      </c>
      <c r="C2" s="91"/>
    </row>
    <row r="3" spans="2:4" ht="15" customHeight="1">
      <c r="B3" s="92"/>
      <c r="C3" s="92"/>
    </row>
    <row r="4" spans="2:4" s="93" customFormat="1" ht="21">
      <c r="B4" s="70" t="s">
        <v>197</v>
      </c>
      <c r="C4" s="71"/>
    </row>
    <row r="5" spans="2:4" s="93" customFormat="1" ht="15" customHeight="1">
      <c r="B5" s="94"/>
      <c r="C5" s="95" t="s">
        <v>1</v>
      </c>
    </row>
    <row r="6" spans="2:4" s="73" customFormat="1" ht="15" customHeight="1">
      <c r="B6" s="101"/>
      <c r="C6" s="102" t="s">
        <v>2</v>
      </c>
    </row>
    <row r="7" spans="2:4" s="73" customFormat="1" ht="15" customHeight="1">
      <c r="B7" s="103" t="s">
        <v>198</v>
      </c>
      <c r="C7" s="104">
        <v>17512283</v>
      </c>
    </row>
    <row r="8" spans="2:4" s="73" customFormat="1" ht="15" customHeight="1">
      <c r="B8" s="105" t="s">
        <v>113</v>
      </c>
      <c r="C8" s="106"/>
    </row>
    <row r="9" spans="2:4" s="73" customFormat="1" ht="15" customHeight="1">
      <c r="B9" s="105" t="s">
        <v>7</v>
      </c>
      <c r="C9" s="106"/>
    </row>
    <row r="10" spans="2:4" s="73" customFormat="1" ht="15" customHeight="1">
      <c r="B10" s="105" t="s">
        <v>8</v>
      </c>
      <c r="C10" s="106"/>
    </row>
    <row r="11" spans="2:4" s="73" customFormat="1" ht="15" customHeight="1">
      <c r="B11" s="107" t="s">
        <v>9</v>
      </c>
      <c r="C11" s="108">
        <f>SUM(C7:C10)</f>
        <v>17512283</v>
      </c>
    </row>
    <row r="12" spans="2:4" s="73" customFormat="1" ht="15" customHeight="1">
      <c r="B12" s="96"/>
      <c r="C12" s="97"/>
    </row>
    <row r="13" spans="2:4" s="73" customFormat="1" ht="15" customHeight="1">
      <c r="B13" s="109"/>
      <c r="C13" s="110" t="s">
        <v>111</v>
      </c>
    </row>
    <row r="14" spans="2:4" s="73" customFormat="1" ht="15" customHeight="1">
      <c r="B14" s="105" t="s">
        <v>114</v>
      </c>
      <c r="C14" s="104">
        <f>C11</f>
        <v>17512283</v>
      </c>
    </row>
    <row r="15" spans="2:4" s="100" customFormat="1" ht="15" customHeight="1">
      <c r="B15" s="111" t="s">
        <v>28</v>
      </c>
      <c r="C15" s="112">
        <f>SUM(C14:C14)</f>
        <v>17512283</v>
      </c>
      <c r="D15" s="98"/>
    </row>
    <row r="16" spans="2:4" s="73" customFormat="1" ht="15" customHeight="1">
      <c r="B16" s="74"/>
      <c r="C16" s="75"/>
    </row>
    <row r="17" s="73" customFormat="1" ht="15" customHeight="1"/>
    <row r="18" s="73" customFormat="1" ht="15" customHeight="1"/>
    <row r="19" s="73" customFormat="1" ht="15" customHeight="1"/>
    <row r="20" s="73" customFormat="1" ht="15" customHeight="1"/>
    <row r="21" s="73" customFormat="1" ht="15" customHeight="1"/>
    <row r="22" s="73" customFormat="1" ht="15" customHeight="1"/>
    <row r="23" s="73" customFormat="1" ht="15" customHeight="1"/>
    <row r="24" s="73" customFormat="1" ht="15" customHeight="1"/>
    <row r="25" s="73" customFormat="1" ht="15" customHeight="1"/>
    <row r="26" s="73" customFormat="1" ht="15" customHeight="1"/>
    <row r="27" s="73" customFormat="1" ht="15" customHeight="1"/>
    <row r="28" s="73" customFormat="1" ht="15" customHeight="1"/>
    <row r="29" s="73" customFormat="1" ht="15" customHeight="1"/>
    <row r="30" s="73" customFormat="1" ht="15" customHeight="1"/>
    <row r="31" s="73" customFormat="1" ht="15" customHeight="1"/>
    <row r="32" s="73" customFormat="1" ht="15" customHeight="1"/>
    <row r="33" s="73" customFormat="1" ht="15" customHeight="1"/>
    <row r="34" s="73" customFormat="1" ht="15" customHeight="1"/>
    <row r="35" s="73" customFormat="1" ht="15" customHeight="1"/>
    <row r="36" s="73" customFormat="1" ht="15" customHeight="1"/>
    <row r="37" s="73" customFormat="1" ht="15" customHeight="1"/>
    <row r="38" s="73" customFormat="1" ht="15" customHeight="1"/>
    <row r="39" s="73" customFormat="1" ht="15" customHeight="1"/>
    <row r="40" s="73" customFormat="1" ht="15" customHeight="1"/>
  </sheetData>
  <conditionalFormatting sqref="D15:XFD15">
    <cfRule type="cellIs" dxfId="21" priority="1" operator="equal">
      <formula>0</formula>
    </cfRule>
    <cfRule type="cellIs" dxfId="20" priority="2" operator="greaterThan">
      <formula>0</formula>
    </cfRule>
    <cfRule type="cellIs" dxfId="19" priority="3" operator="greaterThan">
      <formula>0</formula>
    </cfRule>
  </conditionalFormatting>
  <pageMargins left="0.7" right="0.7" top="0.75" bottom="0.75" header="0.3" footer="0.3"/>
  <pageSetup paperSize="9" orientation="portrait" r:id="rId1"/>
  <headerFooter>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EB3D9-3F32-44DC-BDE9-7063C17AE343}">
  <sheetPr>
    <pageSetUpPr fitToPage="1"/>
  </sheetPr>
  <dimension ref="B1:L40"/>
  <sheetViews>
    <sheetView workbookViewId="0">
      <selection activeCell="C14" sqref="C14"/>
    </sheetView>
  </sheetViews>
  <sheetFormatPr defaultColWidth="8.88671875" defaultRowHeight="14.4"/>
  <cols>
    <col min="1" max="1" width="2.109375" style="72" customWidth="1"/>
    <col min="2" max="2" width="42.6640625" style="72" customWidth="1"/>
    <col min="3" max="3" width="14.109375" style="72" customWidth="1"/>
    <col min="4" max="4" width="14.6640625" style="72" customWidth="1"/>
    <col min="5" max="5" width="8.88671875" style="72"/>
    <col min="6" max="6" width="14.5546875" style="72" customWidth="1"/>
    <col min="7" max="16384" width="8.88671875" style="72"/>
  </cols>
  <sheetData>
    <row r="1" spans="2:12" ht="11.25" customHeight="1"/>
    <row r="2" spans="2:12" ht="22.5" customHeight="1">
      <c r="B2" s="91" t="s">
        <v>115</v>
      </c>
      <c r="C2" s="91"/>
    </row>
    <row r="3" spans="2:12" ht="15" customHeight="1">
      <c r="B3" s="92"/>
      <c r="C3" s="92"/>
    </row>
    <row r="4" spans="2:12" s="93" customFormat="1" ht="21">
      <c r="B4" s="70" t="s">
        <v>197</v>
      </c>
      <c r="C4" s="71"/>
    </row>
    <row r="5" spans="2:12" s="93" customFormat="1" ht="15" customHeight="1">
      <c r="B5" s="94"/>
      <c r="C5" s="95" t="s">
        <v>1</v>
      </c>
      <c r="D5" s="100"/>
    </row>
    <row r="6" spans="2:12" s="100" customFormat="1" ht="15" customHeight="1">
      <c r="B6" s="101"/>
      <c r="C6" s="102" t="s">
        <v>2</v>
      </c>
      <c r="F6" s="114"/>
    </row>
    <row r="7" spans="2:12" s="100" customFormat="1" ht="15" customHeight="1">
      <c r="B7" s="103" t="s">
        <v>198</v>
      </c>
      <c r="C7" s="104">
        <v>6836487</v>
      </c>
      <c r="F7" s="114"/>
    </row>
    <row r="8" spans="2:12" s="100" customFormat="1" ht="15" customHeight="1">
      <c r="B8" s="105" t="s">
        <v>116</v>
      </c>
      <c r="C8" s="106"/>
      <c r="F8" s="99"/>
    </row>
    <row r="9" spans="2:12" s="100" customFormat="1" ht="15" customHeight="1">
      <c r="B9" s="105" t="s">
        <v>7</v>
      </c>
      <c r="C9" s="106"/>
    </row>
    <row r="10" spans="2:12" s="100" customFormat="1" ht="15" customHeight="1">
      <c r="B10" s="105" t="s">
        <v>8</v>
      </c>
      <c r="C10" s="106"/>
      <c r="D10" s="73"/>
      <c r="J10" s="99"/>
      <c r="K10" s="99"/>
      <c r="L10" s="99"/>
    </row>
    <row r="11" spans="2:12" s="73" customFormat="1" ht="15" customHeight="1">
      <c r="B11" s="111" t="s">
        <v>9</v>
      </c>
      <c r="C11" s="112">
        <f>SUM(C7:C10)</f>
        <v>6836487</v>
      </c>
    </row>
    <row r="12" spans="2:12" s="73" customFormat="1" ht="15" customHeight="1">
      <c r="B12" s="115"/>
      <c r="C12" s="116"/>
    </row>
    <row r="13" spans="2:12" s="73" customFormat="1" ht="15" customHeight="1">
      <c r="B13" s="118"/>
      <c r="C13" s="102" t="s">
        <v>111</v>
      </c>
    </row>
    <row r="14" spans="2:12" s="73" customFormat="1" ht="15" customHeight="1">
      <c r="B14" s="105" t="s">
        <v>121</v>
      </c>
      <c r="C14" s="104">
        <f>'Ej volymplanerade åtgärder'!B13</f>
        <v>100000</v>
      </c>
    </row>
    <row r="15" spans="2:12" s="73" customFormat="1" ht="15" customHeight="1">
      <c r="B15" s="119" t="s">
        <v>114</v>
      </c>
      <c r="C15" s="120">
        <f>C11-SUM(C14:C14)</f>
        <v>6736487</v>
      </c>
    </row>
    <row r="16" spans="2:12" s="73" customFormat="1" ht="15" customHeight="1">
      <c r="B16" s="121" t="s">
        <v>28</v>
      </c>
      <c r="C16" s="122">
        <f>SUM(C14:C15)</f>
        <v>6836487</v>
      </c>
      <c r="E16" s="99"/>
    </row>
    <row r="17" spans="2:2" s="73" customFormat="1" ht="15" customHeight="1"/>
    <row r="18" spans="2:2" s="73" customFormat="1" ht="15" customHeight="1">
      <c r="B18" s="117"/>
    </row>
    <row r="19" spans="2:2" s="73" customFormat="1" ht="15" customHeight="1"/>
    <row r="20" spans="2:2" s="73" customFormat="1" ht="15" customHeight="1"/>
    <row r="21" spans="2:2" s="73" customFormat="1" ht="15" customHeight="1"/>
    <row r="22" spans="2:2" s="73" customFormat="1" ht="15" customHeight="1"/>
    <row r="23" spans="2:2" s="73" customFormat="1" ht="15" customHeight="1"/>
    <row r="24" spans="2:2" s="73" customFormat="1" ht="15" customHeight="1"/>
    <row r="25" spans="2:2" s="73" customFormat="1" ht="15" customHeight="1"/>
    <row r="26" spans="2:2" s="73" customFormat="1" ht="15" customHeight="1"/>
    <row r="27" spans="2:2" s="73" customFormat="1" ht="15" customHeight="1"/>
    <row r="28" spans="2:2" s="73" customFormat="1" ht="15" customHeight="1"/>
    <row r="29" spans="2:2" s="73" customFormat="1" ht="15" customHeight="1"/>
    <row r="30" spans="2:2" s="73" customFormat="1" ht="15" customHeight="1"/>
    <row r="31" spans="2:2" s="73" customFormat="1" ht="15" customHeight="1"/>
    <row r="32" spans="2:2" s="73" customFormat="1" ht="15" customHeight="1"/>
    <row r="33" spans="4:4" s="73" customFormat="1" ht="15" customHeight="1"/>
    <row r="34" spans="4:4" s="73" customFormat="1" ht="15" customHeight="1"/>
    <row r="35" spans="4:4" s="73" customFormat="1" ht="15" customHeight="1"/>
    <row r="36" spans="4:4" s="73" customFormat="1" ht="15" customHeight="1"/>
    <row r="37" spans="4:4" s="73" customFormat="1" ht="15" customHeight="1"/>
    <row r="38" spans="4:4" s="73" customFormat="1" ht="15" customHeight="1"/>
    <row r="39" spans="4:4" s="73" customFormat="1" ht="15" customHeight="1"/>
    <row r="40" spans="4:4" s="73" customFormat="1" ht="15" customHeight="1">
      <c r="D40" s="72"/>
    </row>
  </sheetData>
  <conditionalFormatting sqref="G6:XFD7 E8:XFD10 E6:E7 D5:D9">
    <cfRule type="cellIs" dxfId="18" priority="4" operator="equal">
      <formula>0</formula>
    </cfRule>
    <cfRule type="cellIs" dxfId="17" priority="5" operator="greaterThan">
      <formula>0</formula>
    </cfRule>
    <cfRule type="cellIs" dxfId="16" priority="6" operator="greaterThan">
      <formula>0</formula>
    </cfRule>
  </conditionalFormatting>
  <conditionalFormatting sqref="E16">
    <cfRule type="cellIs" dxfId="15" priority="1" operator="equal">
      <formula>0</formula>
    </cfRule>
    <cfRule type="cellIs" dxfId="14" priority="2" operator="greaterThan">
      <formula>0</formula>
    </cfRule>
    <cfRule type="cellIs" dxfId="13" priority="3" operator="greaterThan">
      <formula>0</formula>
    </cfRule>
  </conditionalFormatting>
  <pageMargins left="0.7" right="0.7" top="0.75" bottom="0.75" header="0.3" footer="0.3"/>
  <pageSetup paperSize="9" orientation="portrait" r:id="rId1"/>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3707-AB65-4C6D-850C-4A7D51062976}">
  <sheetPr>
    <pageSetUpPr fitToPage="1"/>
  </sheetPr>
  <dimension ref="B1:G40"/>
  <sheetViews>
    <sheetView workbookViewId="0">
      <selection activeCell="C13" sqref="C13"/>
    </sheetView>
  </sheetViews>
  <sheetFormatPr defaultColWidth="8.88671875" defaultRowHeight="14.4"/>
  <cols>
    <col min="1" max="1" width="2.109375" style="72" customWidth="1"/>
    <col min="2" max="2" width="42.6640625" style="72" customWidth="1"/>
    <col min="3" max="3" width="13.88671875" style="72" customWidth="1"/>
    <col min="4" max="4" width="10" style="72" customWidth="1"/>
    <col min="5" max="16384" width="8.88671875" style="72"/>
  </cols>
  <sheetData>
    <row r="1" spans="2:7" ht="11.25" customHeight="1"/>
    <row r="2" spans="2:7" ht="22.5" customHeight="1">
      <c r="B2" s="91" t="s">
        <v>117</v>
      </c>
      <c r="C2" s="91"/>
    </row>
    <row r="3" spans="2:7" ht="15" customHeight="1">
      <c r="B3" s="92"/>
      <c r="C3" s="92"/>
    </row>
    <row r="4" spans="2:7" s="93" customFormat="1" ht="21">
      <c r="B4" s="70" t="s">
        <v>197</v>
      </c>
      <c r="C4" s="71"/>
    </row>
    <row r="5" spans="2:7" s="93" customFormat="1" ht="15" customHeight="1">
      <c r="B5" s="113"/>
      <c r="C5" s="123" t="s">
        <v>1</v>
      </c>
    </row>
    <row r="6" spans="2:7" s="124" customFormat="1" ht="15" customHeight="1">
      <c r="B6" s="132"/>
      <c r="C6" s="133" t="s">
        <v>2</v>
      </c>
    </row>
    <row r="7" spans="2:7" s="73" customFormat="1" ht="15" customHeight="1">
      <c r="B7" s="134" t="s">
        <v>198</v>
      </c>
      <c r="C7" s="135">
        <v>14204153</v>
      </c>
    </row>
    <row r="8" spans="2:7" s="73" customFormat="1" ht="15" customHeight="1">
      <c r="B8" s="136" t="s">
        <v>7</v>
      </c>
      <c r="C8" s="137"/>
    </row>
    <row r="9" spans="2:7" s="73" customFormat="1" ht="15" customHeight="1">
      <c r="B9" s="136" t="s">
        <v>8</v>
      </c>
      <c r="C9" s="137"/>
    </row>
    <row r="10" spans="2:7" s="73" customFormat="1" ht="15" customHeight="1">
      <c r="B10" s="138" t="s">
        <v>9</v>
      </c>
      <c r="C10" s="139">
        <f>SUM(C7:C9)</f>
        <v>14204153</v>
      </c>
    </row>
    <row r="11" spans="2:7" s="73" customFormat="1" ht="15" customHeight="1">
      <c r="B11" s="140"/>
      <c r="C11" s="141"/>
    </row>
    <row r="12" spans="2:7" s="125" customFormat="1" ht="15" customHeight="1">
      <c r="B12" s="142"/>
      <c r="C12" s="133" t="s">
        <v>111</v>
      </c>
      <c r="F12" s="126"/>
      <c r="G12" s="126"/>
    </row>
    <row r="13" spans="2:7" s="73" customFormat="1" ht="15" customHeight="1">
      <c r="B13" s="136" t="s">
        <v>118</v>
      </c>
      <c r="C13" s="135">
        <f>'Ej volymplanerade åtgärder'!B20</f>
        <v>143000</v>
      </c>
    </row>
    <row r="14" spans="2:7" s="73" customFormat="1" ht="15" customHeight="1">
      <c r="B14" s="143" t="s">
        <v>114</v>
      </c>
      <c r="C14" s="144">
        <f>C10-SUM(C13:C13)</f>
        <v>14061153</v>
      </c>
    </row>
    <row r="15" spans="2:7" s="73" customFormat="1" ht="15" customHeight="1">
      <c r="B15" s="145" t="s">
        <v>28</v>
      </c>
      <c r="C15" s="146">
        <f>SUM(C13:C14)</f>
        <v>14204153</v>
      </c>
      <c r="D15" s="127"/>
    </row>
    <row r="16" spans="2:7" s="100" customFormat="1" ht="15" customHeight="1"/>
    <row r="17" s="73" customFormat="1" ht="15" customHeight="1"/>
    <row r="18" s="73" customFormat="1" ht="15" customHeight="1"/>
    <row r="19" s="73" customFormat="1" ht="15" customHeight="1"/>
    <row r="20" s="73" customFormat="1" ht="15" customHeight="1"/>
    <row r="21" s="73" customFormat="1" ht="15" customHeight="1"/>
    <row r="22" s="73" customFormat="1" ht="15" customHeight="1"/>
    <row r="23" s="73" customFormat="1" ht="15" customHeight="1"/>
    <row r="24" s="73" customFormat="1" ht="15" customHeight="1"/>
    <row r="25" s="73" customFormat="1" ht="15" customHeight="1"/>
    <row r="26" s="73" customFormat="1" ht="15" customHeight="1"/>
    <row r="27" s="73" customFormat="1" ht="15" customHeight="1"/>
    <row r="28" s="73" customFormat="1" ht="15" customHeight="1"/>
    <row r="29" s="73" customFormat="1" ht="15" customHeight="1"/>
    <row r="30" s="73" customFormat="1" ht="15" customHeight="1"/>
    <row r="31" s="73" customFormat="1" ht="15" customHeight="1"/>
    <row r="32" s="73" customFormat="1" ht="15" customHeight="1"/>
    <row r="33" s="73" customFormat="1" ht="15" customHeight="1"/>
    <row r="34" s="73" customFormat="1" ht="15" customHeight="1"/>
    <row r="35" s="73" customFormat="1" ht="15" customHeight="1"/>
    <row r="36" s="73" customFormat="1" ht="15" customHeight="1"/>
    <row r="37" s="73" customFormat="1" ht="15" customHeight="1"/>
    <row r="38" s="73" customFormat="1" ht="15" customHeight="1"/>
    <row r="39" s="73" customFormat="1" ht="15" customHeight="1"/>
    <row r="40" s="73" customFormat="1" ht="15" customHeight="1"/>
  </sheetData>
  <conditionalFormatting sqref="A16:XFD16">
    <cfRule type="cellIs" dxfId="12" priority="1" operator="equal">
      <formula>0</formula>
    </cfRule>
    <cfRule type="cellIs" dxfId="11" priority="2" operator="greaterThan">
      <formula>0</formula>
    </cfRule>
    <cfRule type="cellIs" dxfId="10" priority="3" operator="greaterThan">
      <formula>0</formula>
    </cfRule>
  </conditionalFormatting>
  <pageMargins left="0.7" right="0.7" top="0.75" bottom="0.75" header="0.3" footer="0.3"/>
  <pageSetup paperSize="9" orientation="portrait" r:id="rId1"/>
  <headerFooter>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531B0-A7DE-4E98-A940-6BC9592E92EC}">
  <sheetPr>
    <pageSetUpPr fitToPage="1"/>
  </sheetPr>
  <dimension ref="B1:E42"/>
  <sheetViews>
    <sheetView workbookViewId="0">
      <selection activeCell="B11" sqref="B11"/>
    </sheetView>
  </sheetViews>
  <sheetFormatPr defaultColWidth="9.109375" defaultRowHeight="14.4"/>
  <cols>
    <col min="1" max="1" width="2.109375" style="72" customWidth="1"/>
    <col min="2" max="2" width="44.109375" style="72" customWidth="1"/>
    <col min="3" max="3" width="14.109375" style="72" customWidth="1"/>
    <col min="4" max="16384" width="9.109375" style="72"/>
  </cols>
  <sheetData>
    <row r="1" spans="2:5" ht="11.25" customHeight="1"/>
    <row r="2" spans="2:5" ht="22.5" customHeight="1">
      <c r="B2" s="91" t="s">
        <v>119</v>
      </c>
      <c r="C2" s="130"/>
    </row>
    <row r="3" spans="2:5" ht="15" customHeight="1">
      <c r="B3" s="92"/>
      <c r="C3" s="92"/>
    </row>
    <row r="4" spans="2:5" ht="21">
      <c r="B4" s="70" t="s">
        <v>197</v>
      </c>
      <c r="C4" s="71"/>
    </row>
    <row r="5" spans="2:5" ht="15" customHeight="1">
      <c r="B5" s="113"/>
      <c r="C5" s="123" t="s">
        <v>1</v>
      </c>
    </row>
    <row r="6" spans="2:5" s="73" customFormat="1" ht="15" customHeight="1">
      <c r="B6" s="149" t="s">
        <v>10</v>
      </c>
      <c r="C6" s="150" t="s">
        <v>2</v>
      </c>
    </row>
    <row r="7" spans="2:5" s="73" customFormat="1" ht="15" customHeight="1">
      <c r="B7" s="151" t="s">
        <v>122</v>
      </c>
      <c r="C7" s="152">
        <v>370000</v>
      </c>
    </row>
    <row r="8" spans="2:5" s="73" customFormat="1" ht="15" customHeight="1">
      <c r="B8" s="153" t="s">
        <v>9</v>
      </c>
      <c r="C8" s="154">
        <f>SUM(C7:C7)</f>
        <v>370000</v>
      </c>
    </row>
    <row r="9" spans="2:5" s="73" customFormat="1" ht="15" customHeight="1">
      <c r="B9" s="128"/>
      <c r="C9" s="129"/>
    </row>
    <row r="10" spans="2:5" s="131" customFormat="1" ht="15" customHeight="1">
      <c r="B10" s="155" t="s">
        <v>10</v>
      </c>
      <c r="C10" s="156" t="s">
        <v>111</v>
      </c>
    </row>
    <row r="11" spans="2:5" s="73" customFormat="1" ht="15" customHeight="1">
      <c r="B11" s="157" t="s">
        <v>226</v>
      </c>
      <c r="C11" s="158">
        <v>274000</v>
      </c>
      <c r="E11" s="127"/>
    </row>
    <row r="12" spans="2:5" s="73" customFormat="1" ht="15" customHeight="1">
      <c r="B12" s="157" t="s">
        <v>118</v>
      </c>
      <c r="C12" s="158">
        <f>C8-C11</f>
        <v>96000</v>
      </c>
      <c r="E12" s="127"/>
    </row>
    <row r="13" spans="2:5" s="73" customFormat="1" ht="15" customHeight="1">
      <c r="B13" s="159" t="s">
        <v>28</v>
      </c>
      <c r="C13" s="160">
        <f>SUM(C11:C12)</f>
        <v>370000</v>
      </c>
    </row>
    <row r="14" spans="2:5" s="73" customFormat="1" ht="15" customHeight="1">
      <c r="B14" s="147"/>
      <c r="C14" s="148"/>
    </row>
    <row r="15" spans="2:5" s="73" customFormat="1" ht="15" customHeight="1">
      <c r="B15" s="149" t="s">
        <v>120</v>
      </c>
      <c r="C15" s="150" t="s">
        <v>2</v>
      </c>
    </row>
    <row r="16" spans="2:5" s="73" customFormat="1" ht="15" customHeight="1">
      <c r="B16" s="151" t="s">
        <v>122</v>
      </c>
      <c r="C16" s="152">
        <v>69000</v>
      </c>
    </row>
    <row r="17" spans="2:3" s="73" customFormat="1" ht="15" customHeight="1">
      <c r="B17" s="153" t="s">
        <v>9</v>
      </c>
      <c r="C17" s="154">
        <f>SUM(C16:C16)</f>
        <v>69000</v>
      </c>
    </row>
    <row r="18" spans="2:3" s="73" customFormat="1" ht="15" customHeight="1">
      <c r="B18" s="128"/>
      <c r="C18" s="129"/>
    </row>
    <row r="19" spans="2:3" s="131" customFormat="1" ht="15" customHeight="1">
      <c r="B19" s="149" t="s">
        <v>120</v>
      </c>
      <c r="C19" s="150" t="s">
        <v>111</v>
      </c>
    </row>
    <row r="20" spans="2:3" s="73" customFormat="1" ht="15" customHeight="1">
      <c r="B20" s="151" t="s">
        <v>12</v>
      </c>
      <c r="C20" s="152">
        <v>69000</v>
      </c>
    </row>
    <row r="21" spans="2:3" s="73" customFormat="1" ht="15" customHeight="1">
      <c r="B21" s="153" t="s">
        <v>28</v>
      </c>
      <c r="C21" s="154">
        <f>SUM(C20:C20)</f>
        <v>69000</v>
      </c>
    </row>
    <row r="22" spans="2:3" s="73" customFormat="1" ht="15" customHeight="1">
      <c r="B22" s="74"/>
      <c r="C22" s="75"/>
    </row>
    <row r="23" spans="2:3" s="73" customFormat="1" ht="15" customHeight="1">
      <c r="B23" s="74"/>
      <c r="C23" s="75"/>
    </row>
    <row r="24" spans="2:3" s="73" customFormat="1" ht="15" customHeight="1"/>
    <row r="25" spans="2:3" s="73" customFormat="1" ht="15" customHeight="1"/>
    <row r="26" spans="2:3" s="73" customFormat="1" ht="15" customHeight="1"/>
    <row r="27" spans="2:3" s="73" customFormat="1" ht="15" customHeight="1"/>
    <row r="28" spans="2:3" s="73" customFormat="1" ht="15" customHeight="1"/>
    <row r="29" spans="2:3" s="73" customFormat="1" ht="15" customHeight="1"/>
    <row r="30" spans="2:3" s="73" customFormat="1" ht="15" customHeight="1"/>
    <row r="31" spans="2:3" s="73" customFormat="1" ht="15" customHeight="1"/>
    <row r="32" spans="2:3" s="73" customFormat="1" ht="15" customHeight="1"/>
    <row r="33" s="73" customFormat="1" ht="15" customHeight="1"/>
    <row r="34" s="73" customFormat="1" ht="15" customHeight="1"/>
    <row r="35" s="73" customFormat="1" ht="15" customHeight="1"/>
    <row r="36" s="73" customFormat="1" ht="15" customHeight="1"/>
    <row r="37" s="73" customFormat="1" ht="15" customHeight="1"/>
    <row r="38" s="73" customFormat="1" ht="15" customHeight="1"/>
    <row r="39" s="73" customFormat="1" ht="15" customHeight="1"/>
    <row r="40" s="73" customFormat="1" ht="15" customHeight="1"/>
    <row r="41" s="73" customFormat="1" ht="15" customHeight="1"/>
    <row r="42" s="73" customFormat="1" ht="15" customHeight="1"/>
  </sheetData>
  <pageMargins left="0.7" right="0.7" top="0.75" bottom="0.75" header="0.3" footer="0.3"/>
  <pageSetup paperSize="9" scale="9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0811-A05D-4D4E-8334-D47A658FA4F3}">
  <dimension ref="A1:U58"/>
  <sheetViews>
    <sheetView showGridLines="0" zoomScaleNormal="100" workbookViewId="0"/>
  </sheetViews>
  <sheetFormatPr defaultColWidth="9.109375" defaultRowHeight="10.199999999999999" outlineLevelCol="1"/>
  <cols>
    <col min="1" max="1" width="40.5546875" style="79" customWidth="1"/>
    <col min="2" max="13" width="9.109375" style="78" customWidth="1" outlineLevel="1"/>
    <col min="14" max="14" width="2.88671875" style="78" customWidth="1"/>
    <col min="15" max="15" width="9.109375" style="78"/>
    <col min="16" max="16384" width="9.109375" style="79"/>
  </cols>
  <sheetData>
    <row r="1" spans="1:21" ht="17.399999999999999">
      <c r="A1" s="235" t="s">
        <v>199</v>
      </c>
      <c r="B1" s="197"/>
      <c r="C1" s="197"/>
      <c r="D1" s="197"/>
      <c r="E1" s="197"/>
      <c r="F1" s="197"/>
      <c r="G1" s="197"/>
      <c r="H1" s="197"/>
      <c r="I1" s="197"/>
      <c r="J1" s="197"/>
      <c r="K1" s="197"/>
      <c r="L1" s="197"/>
      <c r="M1" s="197"/>
      <c r="N1" s="197"/>
      <c r="O1" s="197"/>
    </row>
    <row r="2" spans="1:21" s="80" customFormat="1">
      <c r="A2" s="79"/>
      <c r="B2" s="198"/>
      <c r="C2" s="198"/>
      <c r="D2" s="198"/>
      <c r="E2" s="198"/>
      <c r="F2" s="198"/>
      <c r="G2" s="198"/>
      <c r="H2" s="198"/>
      <c r="I2" s="198"/>
      <c r="J2" s="198"/>
      <c r="K2" s="198"/>
      <c r="L2" s="198"/>
      <c r="M2" s="198"/>
      <c r="N2" s="198"/>
      <c r="O2" s="198"/>
      <c r="P2" s="79"/>
      <c r="Q2" s="79"/>
      <c r="R2" s="79"/>
      <c r="S2" s="79"/>
      <c r="T2" s="79"/>
      <c r="U2" s="79"/>
    </row>
    <row r="3" spans="1:21" s="80" customFormat="1" ht="14.4">
      <c r="A3" s="76" t="s">
        <v>145</v>
      </c>
      <c r="B3" s="198"/>
      <c r="C3" s="198"/>
      <c r="D3" s="198"/>
      <c r="E3" s="198"/>
      <c r="F3" s="198"/>
      <c r="G3" s="198"/>
      <c r="H3" s="198"/>
      <c r="I3" s="198"/>
      <c r="J3" s="198"/>
      <c r="K3" s="198"/>
      <c r="L3" s="198"/>
      <c r="M3" s="198"/>
      <c r="N3" s="198"/>
      <c r="O3" s="198"/>
      <c r="P3" s="79"/>
      <c r="Q3" s="79"/>
      <c r="R3" s="79"/>
      <c r="S3" s="79"/>
      <c r="T3" s="79"/>
      <c r="U3" s="79"/>
    </row>
    <row r="4" spans="1:21" s="80" customFormat="1">
      <c r="A4" s="81"/>
      <c r="B4" s="200" t="s">
        <v>56</v>
      </c>
      <c r="C4" s="200" t="s">
        <v>57</v>
      </c>
      <c r="D4" s="200" t="s">
        <v>58</v>
      </c>
      <c r="E4" s="200" t="s">
        <v>59</v>
      </c>
      <c r="F4" s="200" t="s">
        <v>60</v>
      </c>
      <c r="G4" s="200" t="s">
        <v>61</v>
      </c>
      <c r="H4" s="200" t="s">
        <v>62</v>
      </c>
      <c r="I4" s="200" t="s">
        <v>63</v>
      </c>
      <c r="J4" s="200" t="s">
        <v>64</v>
      </c>
      <c r="K4" s="200" t="s">
        <v>65</v>
      </c>
      <c r="L4" s="200" t="s">
        <v>66</v>
      </c>
      <c r="M4" s="200" t="s">
        <v>67</v>
      </c>
      <c r="N4" s="200"/>
      <c r="O4" s="200" t="s">
        <v>205</v>
      </c>
      <c r="P4" s="79"/>
      <c r="Q4" s="79"/>
      <c r="R4" s="79"/>
      <c r="S4" s="79"/>
      <c r="T4" s="79"/>
      <c r="U4" s="79"/>
    </row>
    <row r="5" spans="1:21" s="83" customFormat="1">
      <c r="A5" s="82" t="s">
        <v>124</v>
      </c>
      <c r="B5" s="202">
        <v>117380.30890052357</v>
      </c>
      <c r="C5" s="202">
        <v>117627.62852973994</v>
      </c>
      <c r="D5" s="202">
        <v>117963.42022144025</v>
      </c>
      <c r="E5" s="202">
        <v>118720.96225645866</v>
      </c>
      <c r="F5" s="202">
        <v>119547.8744313793</v>
      </c>
      <c r="G5" s="202">
        <v>120032.12612651275</v>
      </c>
      <c r="H5" s="202">
        <v>120344.96320058365</v>
      </c>
      <c r="I5" s="202">
        <v>121395.56894258004</v>
      </c>
      <c r="J5" s="202">
        <v>122086.75693073556</v>
      </c>
      <c r="K5" s="202">
        <v>122002.97777014849</v>
      </c>
      <c r="L5" s="202">
        <v>122330.7265470775</v>
      </c>
      <c r="M5" s="202">
        <v>122440.31126083601</v>
      </c>
      <c r="N5" s="203"/>
      <c r="O5" s="212">
        <f>ROUND(AVERAGE(B5:M5),-2)</f>
        <v>120200</v>
      </c>
    </row>
    <row r="6" spans="1:21" s="83" customFormat="1">
      <c r="A6" s="82" t="s">
        <v>146</v>
      </c>
      <c r="B6" s="204">
        <v>11019.300279888046</v>
      </c>
      <c r="C6" s="204">
        <v>10473.699320271895</v>
      </c>
      <c r="D6" s="204">
        <v>10726.576169532191</v>
      </c>
      <c r="E6" s="204">
        <v>11799.627469557907</v>
      </c>
      <c r="F6" s="204">
        <v>12192.499620710361</v>
      </c>
      <c r="G6" s="204">
        <v>12008.938005916205</v>
      </c>
      <c r="H6" s="204">
        <v>11829.897905135613</v>
      </c>
      <c r="I6" s="204">
        <v>12411.301949595265</v>
      </c>
      <c r="J6" s="204">
        <v>12217.045907518233</v>
      </c>
      <c r="K6" s="204">
        <v>14400.51926365193</v>
      </c>
      <c r="L6" s="204">
        <v>16041.649458611455</v>
      </c>
      <c r="M6" s="204">
        <v>16521.307384397791</v>
      </c>
      <c r="N6" s="205"/>
      <c r="O6" s="212">
        <f t="shared" ref="O6:O14" si="0">ROUND(AVERAGE(B6:M6),-2)</f>
        <v>12600</v>
      </c>
    </row>
    <row r="7" spans="1:21" s="83" customFormat="1">
      <c r="A7" s="82" t="s">
        <v>147</v>
      </c>
      <c r="B7" s="204">
        <v>26565.994544908615</v>
      </c>
      <c r="C7" s="204">
        <v>29739.53213955613</v>
      </c>
      <c r="D7" s="204">
        <v>31501.781441514358</v>
      </c>
      <c r="E7" s="204">
        <v>32335.82848446475</v>
      </c>
      <c r="F7" s="204">
        <v>32505.418786618786</v>
      </c>
      <c r="G7" s="204">
        <v>31670.112731331588</v>
      </c>
      <c r="H7" s="204">
        <v>31472.832406103124</v>
      </c>
      <c r="I7" s="204">
        <v>31694.881092493466</v>
      </c>
      <c r="J7" s="204">
        <v>32161.066729471266</v>
      </c>
      <c r="K7" s="204">
        <v>32124.027315143598</v>
      </c>
      <c r="L7" s="204">
        <v>32102.231342950392</v>
      </c>
      <c r="M7" s="204">
        <v>30657.293627545685</v>
      </c>
      <c r="N7" s="205"/>
      <c r="O7" s="212">
        <f t="shared" si="0"/>
        <v>31200</v>
      </c>
    </row>
    <row r="8" spans="1:21" s="85" customFormat="1">
      <c r="A8" s="201" t="s">
        <v>150</v>
      </c>
      <c r="B8" s="206">
        <v>2500</v>
      </c>
      <c r="C8" s="206">
        <v>2800</v>
      </c>
      <c r="D8" s="206">
        <v>3000</v>
      </c>
      <c r="E8" s="206">
        <v>3000</v>
      </c>
      <c r="F8" s="206">
        <v>2700</v>
      </c>
      <c r="G8" s="206">
        <v>2500</v>
      </c>
      <c r="H8" s="206">
        <v>2000</v>
      </c>
      <c r="I8" s="206">
        <v>2500</v>
      </c>
      <c r="J8" s="206">
        <v>3000</v>
      </c>
      <c r="K8" s="206">
        <v>3000</v>
      </c>
      <c r="L8" s="206">
        <v>3000</v>
      </c>
      <c r="M8" s="206">
        <v>3000</v>
      </c>
      <c r="N8" s="207"/>
      <c r="O8" s="212">
        <f t="shared" si="0"/>
        <v>2800</v>
      </c>
    </row>
    <row r="9" spans="1:21" s="83" customFormat="1">
      <c r="A9" s="82" t="s">
        <v>125</v>
      </c>
      <c r="B9" s="204">
        <v>3232</v>
      </c>
      <c r="C9" s="204">
        <v>3264</v>
      </c>
      <c r="D9" s="204">
        <v>3296</v>
      </c>
      <c r="E9" s="204">
        <v>3296</v>
      </c>
      <c r="F9" s="204">
        <v>3219</v>
      </c>
      <c r="G9" s="204">
        <v>3104</v>
      </c>
      <c r="H9" s="204">
        <v>2944</v>
      </c>
      <c r="I9" s="204">
        <v>3008</v>
      </c>
      <c r="J9" s="204">
        <v>3136</v>
      </c>
      <c r="K9" s="204">
        <v>3296</v>
      </c>
      <c r="L9" s="204">
        <v>3360</v>
      </c>
      <c r="M9" s="204">
        <v>3232</v>
      </c>
      <c r="N9" s="205"/>
      <c r="O9" s="212">
        <f t="shared" si="0"/>
        <v>3200</v>
      </c>
    </row>
    <row r="10" spans="1:21" s="83" customFormat="1">
      <c r="A10" s="82" t="s">
        <v>151</v>
      </c>
      <c r="B10" s="204">
        <v>1300</v>
      </c>
      <c r="C10" s="204">
        <v>1200</v>
      </c>
      <c r="D10" s="204">
        <v>1100</v>
      </c>
      <c r="E10" s="204">
        <v>1100</v>
      </c>
      <c r="F10" s="204">
        <v>1100</v>
      </c>
      <c r="G10" s="204">
        <v>1100</v>
      </c>
      <c r="H10" s="204">
        <v>1100</v>
      </c>
      <c r="I10" s="204">
        <v>1100</v>
      </c>
      <c r="J10" s="204">
        <v>1100</v>
      </c>
      <c r="K10" s="204">
        <v>1100</v>
      </c>
      <c r="L10" s="204">
        <v>1100</v>
      </c>
      <c r="M10" s="204">
        <v>1100</v>
      </c>
      <c r="N10" s="205"/>
      <c r="O10" s="212">
        <f t="shared" si="0"/>
        <v>1100</v>
      </c>
    </row>
    <row r="11" spans="1:21" s="83" customFormat="1">
      <c r="A11" s="82" t="s">
        <v>152</v>
      </c>
      <c r="B11" s="204">
        <v>1140</v>
      </c>
      <c r="C11" s="204">
        <v>1320</v>
      </c>
      <c r="D11" s="204">
        <v>1500</v>
      </c>
      <c r="E11" s="204">
        <v>1590</v>
      </c>
      <c r="F11" s="204">
        <v>1590</v>
      </c>
      <c r="G11" s="204">
        <v>1410</v>
      </c>
      <c r="H11" s="204">
        <v>1410</v>
      </c>
      <c r="I11" s="204">
        <v>1646</v>
      </c>
      <c r="J11" s="204">
        <v>1800</v>
      </c>
      <c r="K11" s="204">
        <v>1890</v>
      </c>
      <c r="L11" s="204">
        <v>1890</v>
      </c>
      <c r="M11" s="204">
        <v>1710</v>
      </c>
      <c r="N11" s="205"/>
      <c r="O11" s="212">
        <f t="shared" si="0"/>
        <v>1600</v>
      </c>
    </row>
    <row r="12" spans="1:21" s="83" customFormat="1">
      <c r="A12" s="82" t="s">
        <v>126</v>
      </c>
      <c r="B12" s="204">
        <v>1000</v>
      </c>
      <c r="C12" s="204">
        <v>1100</v>
      </c>
      <c r="D12" s="204">
        <v>1200</v>
      </c>
      <c r="E12" s="204">
        <v>1300</v>
      </c>
      <c r="F12" s="204">
        <v>1380</v>
      </c>
      <c r="G12" s="204">
        <v>1460</v>
      </c>
      <c r="H12" s="204">
        <v>1500</v>
      </c>
      <c r="I12" s="204">
        <v>1660</v>
      </c>
      <c r="J12" s="204">
        <v>1780</v>
      </c>
      <c r="K12" s="204">
        <v>1900</v>
      </c>
      <c r="L12" s="204">
        <v>2000</v>
      </c>
      <c r="M12" s="204">
        <v>2000</v>
      </c>
      <c r="N12" s="205"/>
      <c r="O12" s="212">
        <f t="shared" si="0"/>
        <v>1500</v>
      </c>
    </row>
    <row r="13" spans="1:21" s="83" customFormat="1">
      <c r="A13" s="82" t="s">
        <v>153</v>
      </c>
      <c r="B13" s="204">
        <v>15</v>
      </c>
      <c r="C13" s="204">
        <v>15</v>
      </c>
      <c r="D13" s="204">
        <v>15</v>
      </c>
      <c r="E13" s="204">
        <v>15</v>
      </c>
      <c r="F13" s="204">
        <v>15</v>
      </c>
      <c r="G13" s="204">
        <v>15</v>
      </c>
      <c r="H13" s="204">
        <v>15</v>
      </c>
      <c r="I13" s="204">
        <v>15</v>
      </c>
      <c r="J13" s="204">
        <v>15</v>
      </c>
      <c r="K13" s="204">
        <v>15</v>
      </c>
      <c r="L13" s="204">
        <v>15</v>
      </c>
      <c r="M13" s="204">
        <v>15</v>
      </c>
      <c r="N13" s="205"/>
      <c r="O13" s="212">
        <f t="shared" si="0"/>
        <v>0</v>
      </c>
    </row>
    <row r="14" spans="1:21" s="83" customFormat="1">
      <c r="A14" s="86" t="s">
        <v>102</v>
      </c>
      <c r="B14" s="205">
        <f>SUM(B5:B13)</f>
        <v>164152.60372532022</v>
      </c>
      <c r="C14" s="215">
        <f t="shared" ref="C14:M14" si="1">SUM(C5:C13)</f>
        <v>167539.85998956798</v>
      </c>
      <c r="D14" s="215">
        <f t="shared" si="1"/>
        <v>170302.77783248678</v>
      </c>
      <c r="E14" s="215">
        <f t="shared" si="1"/>
        <v>173157.41821048132</v>
      </c>
      <c r="F14" s="215">
        <f t="shared" si="1"/>
        <v>174249.79283870844</v>
      </c>
      <c r="G14" s="215">
        <f t="shared" si="1"/>
        <v>173300.17686376054</v>
      </c>
      <c r="H14" s="215">
        <f t="shared" si="1"/>
        <v>172616.69351182238</v>
      </c>
      <c r="I14" s="215">
        <f t="shared" si="1"/>
        <v>175430.75198466878</v>
      </c>
      <c r="J14" s="215">
        <f t="shared" si="1"/>
        <v>177295.86956772505</v>
      </c>
      <c r="K14" s="215">
        <f t="shared" si="1"/>
        <v>179728.52434894402</v>
      </c>
      <c r="L14" s="215">
        <f t="shared" si="1"/>
        <v>181839.60734863934</v>
      </c>
      <c r="M14" s="215">
        <f t="shared" si="1"/>
        <v>180675.91227277947</v>
      </c>
      <c r="N14" s="205"/>
      <c r="O14" s="203">
        <f t="shared" si="0"/>
        <v>174200</v>
      </c>
    </row>
    <row r="15" spans="1:21" s="80" customFormat="1" ht="25.5" customHeight="1">
      <c r="A15" s="87"/>
      <c r="B15" s="198"/>
      <c r="C15" s="198"/>
      <c r="D15" s="198"/>
      <c r="E15" s="198"/>
      <c r="F15" s="198"/>
      <c r="G15" s="198"/>
      <c r="H15" s="198"/>
      <c r="I15" s="198"/>
      <c r="J15" s="198"/>
      <c r="K15" s="198"/>
      <c r="L15" s="198"/>
      <c r="M15" s="198"/>
      <c r="N15" s="198"/>
      <c r="O15" s="198"/>
    </row>
    <row r="16" spans="1:21" s="80" customFormat="1" ht="25.5" customHeight="1">
      <c r="A16" s="76" t="s">
        <v>154</v>
      </c>
      <c r="B16" s="198"/>
      <c r="C16" s="198"/>
      <c r="D16" s="198"/>
      <c r="E16" s="198"/>
      <c r="F16" s="198"/>
      <c r="G16" s="198"/>
      <c r="H16" s="198"/>
      <c r="I16" s="198"/>
      <c r="J16" s="198"/>
      <c r="K16" s="198"/>
      <c r="L16" s="198"/>
      <c r="M16" s="198"/>
      <c r="N16" s="198"/>
      <c r="O16" s="198"/>
    </row>
    <row r="17" spans="1:15" s="80" customFormat="1">
      <c r="A17" s="81"/>
      <c r="B17" s="200" t="s">
        <v>56</v>
      </c>
      <c r="C17" s="200" t="s">
        <v>57</v>
      </c>
      <c r="D17" s="200" t="s">
        <v>58</v>
      </c>
      <c r="E17" s="200" t="s">
        <v>59</v>
      </c>
      <c r="F17" s="200" t="s">
        <v>60</v>
      </c>
      <c r="G17" s="200" t="s">
        <v>61</v>
      </c>
      <c r="H17" s="200" t="s">
        <v>62</v>
      </c>
      <c r="I17" s="200" t="s">
        <v>63</v>
      </c>
      <c r="J17" s="200" t="s">
        <v>64</v>
      </c>
      <c r="K17" s="200" t="s">
        <v>65</v>
      </c>
      <c r="L17" s="200" t="s">
        <v>66</v>
      </c>
      <c r="M17" s="200" t="s">
        <v>67</v>
      </c>
      <c r="N17" s="200"/>
      <c r="O17" s="200" t="s">
        <v>205</v>
      </c>
    </row>
    <row r="18" spans="1:15">
      <c r="A18" s="88" t="s">
        <v>129</v>
      </c>
      <c r="B18" s="204">
        <v>35</v>
      </c>
      <c r="C18" s="204">
        <v>16</v>
      </c>
      <c r="D18" s="204">
        <v>2</v>
      </c>
      <c r="E18" s="204">
        <v>0</v>
      </c>
      <c r="F18" s="204">
        <v>0</v>
      </c>
      <c r="G18" s="204">
        <v>0</v>
      </c>
      <c r="H18" s="204">
        <v>0</v>
      </c>
      <c r="I18" s="204">
        <v>0</v>
      </c>
      <c r="J18" s="204">
        <v>0</v>
      </c>
      <c r="K18" s="204">
        <v>0</v>
      </c>
      <c r="L18" s="204">
        <v>0</v>
      </c>
      <c r="M18" s="204">
        <v>0</v>
      </c>
      <c r="N18" s="204"/>
      <c r="O18" s="212">
        <f t="shared" ref="O18:O20" si="2">ROUND(AVERAGE(B18:M18),-2)</f>
        <v>0</v>
      </c>
    </row>
    <row r="19" spans="1:15">
      <c r="A19" s="88" t="s">
        <v>130</v>
      </c>
      <c r="B19" s="204">
        <v>7000</v>
      </c>
      <c r="C19" s="204">
        <v>7000</v>
      </c>
      <c r="D19" s="204">
        <v>7000</v>
      </c>
      <c r="E19" s="204">
        <v>7000</v>
      </c>
      <c r="F19" s="204">
        <v>7000</v>
      </c>
      <c r="G19" s="204">
        <v>7000</v>
      </c>
      <c r="H19" s="204">
        <v>7000</v>
      </c>
      <c r="I19" s="204">
        <v>7000</v>
      </c>
      <c r="J19" s="204">
        <v>7000</v>
      </c>
      <c r="K19" s="204">
        <v>7000</v>
      </c>
      <c r="L19" s="204">
        <v>7000</v>
      </c>
      <c r="M19" s="204">
        <v>7000</v>
      </c>
      <c r="N19" s="204"/>
      <c r="O19" s="212">
        <f t="shared" si="2"/>
        <v>7000</v>
      </c>
    </row>
    <row r="20" spans="1:15" s="83" customFormat="1">
      <c r="A20" s="86" t="s">
        <v>102</v>
      </c>
      <c r="B20" s="205">
        <f>SUM(B18:B19)</f>
        <v>7035</v>
      </c>
      <c r="C20" s="215">
        <f t="shared" ref="C20:M20" si="3">SUM(C18:C19)</f>
        <v>7016</v>
      </c>
      <c r="D20" s="215">
        <f t="shared" si="3"/>
        <v>7002</v>
      </c>
      <c r="E20" s="215">
        <f t="shared" si="3"/>
        <v>7000</v>
      </c>
      <c r="F20" s="215">
        <f t="shared" si="3"/>
        <v>7000</v>
      </c>
      <c r="G20" s="215">
        <f t="shared" si="3"/>
        <v>7000</v>
      </c>
      <c r="H20" s="215">
        <f t="shared" si="3"/>
        <v>7000</v>
      </c>
      <c r="I20" s="215">
        <f t="shared" si="3"/>
        <v>7000</v>
      </c>
      <c r="J20" s="215">
        <f t="shared" si="3"/>
        <v>7000</v>
      </c>
      <c r="K20" s="215">
        <f t="shared" si="3"/>
        <v>7000</v>
      </c>
      <c r="L20" s="215">
        <f t="shared" si="3"/>
        <v>7000</v>
      </c>
      <c r="M20" s="215">
        <f t="shared" si="3"/>
        <v>7000</v>
      </c>
      <c r="N20" s="205"/>
      <c r="O20" s="203">
        <f t="shared" si="2"/>
        <v>7000</v>
      </c>
    </row>
    <row r="21" spans="1:15" s="83" customFormat="1">
      <c r="A21" s="86"/>
      <c r="B21" s="205"/>
      <c r="C21" s="205"/>
      <c r="D21" s="205"/>
      <c r="E21" s="205"/>
      <c r="F21" s="205"/>
      <c r="G21" s="205"/>
      <c r="H21" s="205"/>
      <c r="I21" s="205"/>
      <c r="J21" s="205"/>
      <c r="K21" s="205"/>
      <c r="L21" s="205"/>
      <c r="M21" s="205"/>
      <c r="N21" s="205"/>
      <c r="O21" s="203"/>
    </row>
    <row r="22" spans="1:15" s="80" customFormat="1" ht="26.25" customHeight="1">
      <c r="A22" s="76" t="s">
        <v>155</v>
      </c>
      <c r="B22" s="198"/>
      <c r="C22" s="198"/>
      <c r="D22" s="198"/>
      <c r="E22" s="198"/>
      <c r="F22" s="198"/>
      <c r="G22" s="198"/>
      <c r="H22" s="198"/>
      <c r="I22" s="198"/>
      <c r="J22" s="198"/>
      <c r="K22" s="198"/>
      <c r="L22" s="198"/>
      <c r="M22" s="198"/>
      <c r="N22" s="198"/>
      <c r="O22" s="198"/>
    </row>
    <row r="23" spans="1:15" s="83" customFormat="1">
      <c r="A23" s="81"/>
      <c r="B23" s="200" t="s">
        <v>56</v>
      </c>
      <c r="C23" s="200" t="s">
        <v>57</v>
      </c>
      <c r="D23" s="200" t="s">
        <v>58</v>
      </c>
      <c r="E23" s="200" t="s">
        <v>59</v>
      </c>
      <c r="F23" s="200" t="s">
        <v>60</v>
      </c>
      <c r="G23" s="200" t="s">
        <v>61</v>
      </c>
      <c r="H23" s="200" t="s">
        <v>62</v>
      </c>
      <c r="I23" s="200" t="s">
        <v>63</v>
      </c>
      <c r="J23" s="200" t="s">
        <v>64</v>
      </c>
      <c r="K23" s="200" t="s">
        <v>65</v>
      </c>
      <c r="L23" s="200" t="s">
        <v>66</v>
      </c>
      <c r="M23" s="200" t="s">
        <v>67</v>
      </c>
      <c r="N23" s="200"/>
      <c r="O23" s="200" t="s">
        <v>205</v>
      </c>
    </row>
    <row r="24" spans="1:15">
      <c r="A24" s="82" t="s">
        <v>132</v>
      </c>
      <c r="B24" s="204">
        <v>25200</v>
      </c>
      <c r="C24" s="204">
        <v>25300</v>
      </c>
      <c r="D24" s="204">
        <v>25600</v>
      </c>
      <c r="E24" s="204">
        <v>25900</v>
      </c>
      <c r="F24" s="204">
        <v>26200</v>
      </c>
      <c r="G24" s="204">
        <v>26400</v>
      </c>
      <c r="H24" s="204">
        <v>26600</v>
      </c>
      <c r="I24" s="204">
        <v>26700</v>
      </c>
      <c r="J24" s="204">
        <v>26800</v>
      </c>
      <c r="K24" s="204">
        <v>26900</v>
      </c>
      <c r="L24" s="204">
        <v>26900</v>
      </c>
      <c r="M24" s="204">
        <v>26800</v>
      </c>
      <c r="N24" s="204"/>
      <c r="O24" s="203">
        <f t="shared" ref="O24:O28" si="4">ROUND(AVERAGE(B24:M24),-2)</f>
        <v>26300</v>
      </c>
    </row>
    <row r="25" spans="1:15">
      <c r="A25" s="82" t="s">
        <v>134</v>
      </c>
      <c r="B25" s="204">
        <v>28800</v>
      </c>
      <c r="C25" s="204">
        <v>28800</v>
      </c>
      <c r="D25" s="204">
        <v>28900</v>
      </c>
      <c r="E25" s="204">
        <v>29100</v>
      </c>
      <c r="F25" s="204">
        <v>29300</v>
      </c>
      <c r="G25" s="204">
        <v>29500</v>
      </c>
      <c r="H25" s="204">
        <v>29600</v>
      </c>
      <c r="I25" s="204">
        <v>29600</v>
      </c>
      <c r="J25" s="204">
        <v>29600</v>
      </c>
      <c r="K25" s="204">
        <v>29700</v>
      </c>
      <c r="L25" s="204">
        <v>29700</v>
      </c>
      <c r="M25" s="204">
        <v>29500</v>
      </c>
      <c r="N25" s="204"/>
      <c r="O25" s="203">
        <f t="shared" si="4"/>
        <v>29300</v>
      </c>
    </row>
    <row r="26" spans="1:15">
      <c r="A26" s="82" t="s">
        <v>133</v>
      </c>
      <c r="B26" s="204">
        <v>9300</v>
      </c>
      <c r="C26" s="204">
        <v>9400</v>
      </c>
      <c r="D26" s="204">
        <v>9600</v>
      </c>
      <c r="E26" s="204">
        <v>9800</v>
      </c>
      <c r="F26" s="204">
        <v>10200</v>
      </c>
      <c r="G26" s="204">
        <v>10500</v>
      </c>
      <c r="H26" s="204">
        <v>10500</v>
      </c>
      <c r="I26" s="204">
        <v>10600</v>
      </c>
      <c r="J26" s="204">
        <v>10700</v>
      </c>
      <c r="K26" s="204">
        <v>10800</v>
      </c>
      <c r="L26" s="204">
        <v>10800</v>
      </c>
      <c r="M26" s="204">
        <v>10700</v>
      </c>
      <c r="N26" s="204"/>
      <c r="O26" s="203">
        <f t="shared" si="4"/>
        <v>10200</v>
      </c>
    </row>
    <row r="27" spans="1:15">
      <c r="A27" s="82" t="s">
        <v>156</v>
      </c>
      <c r="B27" s="204">
        <v>1330</v>
      </c>
      <c r="C27" s="204">
        <v>1330</v>
      </c>
      <c r="D27" s="204">
        <v>1380</v>
      </c>
      <c r="E27" s="204">
        <v>1430</v>
      </c>
      <c r="F27" s="204">
        <v>1480</v>
      </c>
      <c r="G27" s="204">
        <v>1530</v>
      </c>
      <c r="H27" s="204">
        <v>1480</v>
      </c>
      <c r="I27" s="204">
        <v>1480</v>
      </c>
      <c r="J27" s="204">
        <v>1480</v>
      </c>
      <c r="K27" s="204">
        <v>1480</v>
      </c>
      <c r="L27" s="204">
        <v>1480</v>
      </c>
      <c r="M27" s="204">
        <v>1430</v>
      </c>
      <c r="N27" s="204"/>
      <c r="O27" s="203">
        <f t="shared" si="4"/>
        <v>1400</v>
      </c>
    </row>
    <row r="28" spans="1:15">
      <c r="A28" s="82" t="s">
        <v>135</v>
      </c>
      <c r="B28" s="204">
        <v>5000</v>
      </c>
      <c r="C28" s="204">
        <v>5100</v>
      </c>
      <c r="D28" s="204">
        <v>5200</v>
      </c>
      <c r="E28" s="204">
        <v>5300</v>
      </c>
      <c r="F28" s="204">
        <v>5400</v>
      </c>
      <c r="G28" s="204">
        <v>5500</v>
      </c>
      <c r="H28" s="204">
        <v>5600</v>
      </c>
      <c r="I28" s="204">
        <v>5700</v>
      </c>
      <c r="J28" s="204">
        <v>5800</v>
      </c>
      <c r="K28" s="204">
        <v>5900</v>
      </c>
      <c r="L28" s="204">
        <v>6000</v>
      </c>
      <c r="M28" s="204">
        <v>6100</v>
      </c>
      <c r="N28" s="204"/>
      <c r="O28" s="203">
        <f t="shared" si="4"/>
        <v>5600</v>
      </c>
    </row>
    <row r="29" spans="1:15" s="83" customFormat="1">
      <c r="A29" s="208" t="s">
        <v>102</v>
      </c>
      <c r="B29" s="205">
        <f>SUM(B24:B28)</f>
        <v>69630</v>
      </c>
      <c r="C29" s="215">
        <f t="shared" ref="C29:M29" si="5">SUM(C24:C28)</f>
        <v>69930</v>
      </c>
      <c r="D29" s="215">
        <f t="shared" si="5"/>
        <v>70680</v>
      </c>
      <c r="E29" s="215">
        <f t="shared" si="5"/>
        <v>71530</v>
      </c>
      <c r="F29" s="215">
        <f t="shared" si="5"/>
        <v>72580</v>
      </c>
      <c r="G29" s="215">
        <f t="shared" si="5"/>
        <v>73430</v>
      </c>
      <c r="H29" s="215">
        <f t="shared" si="5"/>
        <v>73780</v>
      </c>
      <c r="I29" s="215">
        <f t="shared" si="5"/>
        <v>74080</v>
      </c>
      <c r="J29" s="215">
        <f t="shared" si="5"/>
        <v>74380</v>
      </c>
      <c r="K29" s="215">
        <f t="shared" si="5"/>
        <v>74780</v>
      </c>
      <c r="L29" s="215">
        <f t="shared" si="5"/>
        <v>74880</v>
      </c>
      <c r="M29" s="215">
        <f t="shared" si="5"/>
        <v>74530</v>
      </c>
      <c r="N29" s="205"/>
      <c r="O29" s="203">
        <v>75200</v>
      </c>
    </row>
    <row r="31" spans="1:15" ht="14.4">
      <c r="A31" s="76" t="s">
        <v>195</v>
      </c>
    </row>
    <row r="32" spans="1:15" ht="12" customHeight="1">
      <c r="A32" s="162"/>
      <c r="B32" s="200" t="s">
        <v>56</v>
      </c>
      <c r="C32" s="200" t="s">
        <v>57</v>
      </c>
      <c r="D32" s="200" t="s">
        <v>58</v>
      </c>
      <c r="E32" s="200" t="s">
        <v>59</v>
      </c>
      <c r="F32" s="200" t="s">
        <v>60</v>
      </c>
      <c r="G32" s="200" t="s">
        <v>61</v>
      </c>
      <c r="H32" s="200" t="s">
        <v>62</v>
      </c>
      <c r="I32" s="200" t="s">
        <v>63</v>
      </c>
      <c r="J32" s="200" t="s">
        <v>64</v>
      </c>
      <c r="K32" s="200" t="s">
        <v>65</v>
      </c>
      <c r="L32" s="200" t="s">
        <v>66</v>
      </c>
      <c r="M32" s="200" t="s">
        <v>67</v>
      </c>
      <c r="N32" s="200"/>
      <c r="O32" s="200" t="s">
        <v>205</v>
      </c>
    </row>
    <row r="33" spans="1:15" ht="12" customHeight="1">
      <c r="A33" s="201" t="s">
        <v>193</v>
      </c>
      <c r="B33" s="214">
        <v>30304.301750773975</v>
      </c>
      <c r="C33" s="214">
        <v>30354.468448719439</v>
      </c>
      <c r="D33" s="214">
        <v>30559.882302384263</v>
      </c>
      <c r="E33" s="214">
        <v>31801.430976037958</v>
      </c>
      <c r="F33" s="214">
        <v>32154.312266444314</v>
      </c>
      <c r="G33" s="214">
        <v>32438.586061643055</v>
      </c>
      <c r="H33" s="214">
        <v>32696.091902721771</v>
      </c>
      <c r="I33" s="214">
        <v>32604.729661864003</v>
      </c>
      <c r="J33" s="214">
        <v>32614.124417939282</v>
      </c>
      <c r="K33" s="214">
        <v>32468.905849406528</v>
      </c>
      <c r="L33" s="214">
        <v>32228.259133433829</v>
      </c>
      <c r="M33" s="214">
        <v>31974.907228631579</v>
      </c>
      <c r="N33" s="197"/>
      <c r="O33" s="213">
        <f t="shared" ref="O33:O36" si="6">ROUND(AVERAGE(B33:M33),-2)</f>
        <v>31900</v>
      </c>
    </row>
    <row r="34" spans="1:15" ht="12" customHeight="1">
      <c r="A34" s="201" t="s">
        <v>194</v>
      </c>
      <c r="B34" s="214">
        <v>457.7</v>
      </c>
      <c r="C34" s="214">
        <v>455.16077738515907</v>
      </c>
      <c r="D34" s="214">
        <v>462.23144876325091</v>
      </c>
      <c r="E34" s="214">
        <v>461.41872791519438</v>
      </c>
      <c r="F34" s="214">
        <v>463.76855123674909</v>
      </c>
      <c r="G34" s="214">
        <v>455.46819787985862</v>
      </c>
      <c r="H34" s="214">
        <v>447.76855123674909</v>
      </c>
      <c r="I34" s="214">
        <v>449.3021201413427</v>
      </c>
      <c r="J34" s="214">
        <v>451.46466431095405</v>
      </c>
      <c r="K34" s="214">
        <v>431</v>
      </c>
      <c r="L34" s="214">
        <v>412.8</v>
      </c>
      <c r="M34" s="214">
        <v>395.88162544169609</v>
      </c>
      <c r="N34" s="209"/>
      <c r="O34" s="213">
        <f t="shared" si="6"/>
        <v>400</v>
      </c>
    </row>
    <row r="35" spans="1:15" ht="12" customHeight="1">
      <c r="A35" s="79" t="s">
        <v>206</v>
      </c>
      <c r="B35" s="206"/>
      <c r="C35" s="206"/>
      <c r="D35" s="206"/>
      <c r="E35" s="206"/>
      <c r="F35" s="206"/>
      <c r="G35" s="206"/>
      <c r="H35" s="206"/>
      <c r="I35" s="206"/>
      <c r="J35" s="206"/>
      <c r="K35" s="206"/>
      <c r="L35" s="206"/>
      <c r="M35" s="206"/>
      <c r="N35" s="209"/>
      <c r="O35" s="213" t="str">
        <f>IFERROR(ROUND(AVERAGE(B35:M35),-2),"")</f>
        <v/>
      </c>
    </row>
    <row r="36" spans="1:15" ht="12" customHeight="1">
      <c r="A36" s="208" t="s">
        <v>102</v>
      </c>
      <c r="B36" s="205">
        <f>SUM(B33:B35)</f>
        <v>30762.001750773976</v>
      </c>
      <c r="C36" s="215">
        <f t="shared" ref="C36:N36" si="7">SUM(C33:C35)</f>
        <v>30809.629226104596</v>
      </c>
      <c r="D36" s="215">
        <f t="shared" si="7"/>
        <v>31022.113751147514</v>
      </c>
      <c r="E36" s="215">
        <f t="shared" si="7"/>
        <v>32262.849703953154</v>
      </c>
      <c r="F36" s="215">
        <f t="shared" si="7"/>
        <v>32618.080817681064</v>
      </c>
      <c r="G36" s="215">
        <f t="shared" si="7"/>
        <v>32894.054259522913</v>
      </c>
      <c r="H36" s="215">
        <f t="shared" si="7"/>
        <v>33143.860453958521</v>
      </c>
      <c r="I36" s="215">
        <f t="shared" si="7"/>
        <v>33054.031782005346</v>
      </c>
      <c r="J36" s="215">
        <f t="shared" si="7"/>
        <v>33065.589082250233</v>
      </c>
      <c r="K36" s="215">
        <f t="shared" si="7"/>
        <v>32899.905849406525</v>
      </c>
      <c r="L36" s="215">
        <f t="shared" si="7"/>
        <v>32641.059133433828</v>
      </c>
      <c r="M36" s="215">
        <f t="shared" si="7"/>
        <v>32370.788854073275</v>
      </c>
      <c r="N36" s="215">
        <f t="shared" si="7"/>
        <v>0</v>
      </c>
      <c r="O36" s="213">
        <f t="shared" si="6"/>
        <v>32300</v>
      </c>
    </row>
    <row r="37" spans="1:15" s="199" customFormat="1" ht="14.4">
      <c r="B37" s="205"/>
      <c r="C37" s="205"/>
      <c r="D37" s="205"/>
      <c r="E37" s="205"/>
      <c r="F37" s="205"/>
      <c r="G37" s="205"/>
      <c r="H37" s="205"/>
      <c r="I37" s="205"/>
      <c r="J37" s="205"/>
      <c r="K37" s="205"/>
      <c r="L37" s="205"/>
      <c r="M37" s="205"/>
      <c r="N37" s="197"/>
      <c r="O37" s="203"/>
    </row>
    <row r="38" spans="1:15" ht="17.399999999999999">
      <c r="A38" s="77" t="s">
        <v>203</v>
      </c>
      <c r="B38" s="215"/>
      <c r="C38" s="215"/>
      <c r="D38" s="215"/>
      <c r="E38" s="215"/>
      <c r="F38" s="215"/>
      <c r="G38" s="215"/>
      <c r="H38" s="215"/>
      <c r="I38" s="215"/>
      <c r="J38" s="215"/>
      <c r="K38" s="215"/>
      <c r="L38" s="215"/>
      <c r="M38" s="215"/>
      <c r="N38" s="211"/>
      <c r="O38" s="213"/>
    </row>
    <row r="39" spans="1:15" ht="14.4">
      <c r="A39" s="79" t="s">
        <v>148</v>
      </c>
      <c r="B39" s="215">
        <v>67666.36770865618</v>
      </c>
      <c r="C39" s="215">
        <v>66940.315969645802</v>
      </c>
      <c r="D39" s="215">
        <v>66263.936619931148</v>
      </c>
      <c r="E39" s="215">
        <v>66408.045095084293</v>
      </c>
      <c r="F39" s="215">
        <v>66174.187102181211</v>
      </c>
      <c r="G39" s="215">
        <v>66246.228838530718</v>
      </c>
      <c r="H39" s="215">
        <v>67790.759201725479</v>
      </c>
      <c r="I39" s="215">
        <v>68257.084059797824</v>
      </c>
      <c r="J39" s="215">
        <v>68196.675328929006</v>
      </c>
      <c r="K39" s="215">
        <v>67220.059413664334</v>
      </c>
      <c r="L39" s="215">
        <v>67561.306784094122</v>
      </c>
      <c r="M39" s="215">
        <v>69760.332467720669</v>
      </c>
      <c r="N39" s="210"/>
      <c r="O39" s="213">
        <f>ROUND(AVERAGE(B39:M39),-2)</f>
        <v>67400</v>
      </c>
    </row>
    <row r="40" spans="1:15">
      <c r="A40" s="84" t="s">
        <v>157</v>
      </c>
      <c r="B40" s="206">
        <v>44840.929614482069</v>
      </c>
      <c r="C40" s="206">
        <v>41327.496216557629</v>
      </c>
      <c r="D40" s="206">
        <v>38902.33801634542</v>
      </c>
      <c r="E40" s="206">
        <v>38218.922923975297</v>
      </c>
      <c r="F40" s="206">
        <v>37815.636008236201</v>
      </c>
      <c r="G40" s="206">
        <v>38722.620860756244</v>
      </c>
      <c r="H40" s="206">
        <v>38964.334824904108</v>
      </c>
      <c r="I40" s="206">
        <v>40208.113286117434</v>
      </c>
      <c r="J40" s="206">
        <v>40681.329556017954</v>
      </c>
      <c r="K40" s="206">
        <v>40741.728885681325</v>
      </c>
      <c r="L40" s="206">
        <v>41104.627010967277</v>
      </c>
      <c r="M40" s="206">
        <v>41248.532824638918</v>
      </c>
      <c r="N40" s="209"/>
      <c r="O40" s="217">
        <f t="shared" ref="O40:O55" si="8">ROUND(AVERAGE(B40:M40),-2)</f>
        <v>40200</v>
      </c>
    </row>
    <row r="41" spans="1:15" s="90" customFormat="1">
      <c r="A41" s="84" t="s">
        <v>158</v>
      </c>
      <c r="B41" s="206">
        <v>22825.438094174115</v>
      </c>
      <c r="C41" s="206">
        <v>25612.819753088166</v>
      </c>
      <c r="D41" s="206">
        <v>27361.598603585724</v>
      </c>
      <c r="E41" s="206">
        <v>28189.122171108997</v>
      </c>
      <c r="F41" s="206">
        <v>28358.551093945011</v>
      </c>
      <c r="G41" s="206">
        <v>27523.607977774467</v>
      </c>
      <c r="H41" s="206">
        <v>28826.424376821371</v>
      </c>
      <c r="I41" s="206">
        <v>28048.970773680387</v>
      </c>
      <c r="J41" s="206">
        <v>27515.345772911049</v>
      </c>
      <c r="K41" s="206">
        <v>26478.330527983006</v>
      </c>
      <c r="L41" s="206">
        <v>26456.679773126849</v>
      </c>
      <c r="M41" s="206">
        <v>28511.799643081755</v>
      </c>
      <c r="N41" s="209"/>
      <c r="O41" s="217">
        <f t="shared" si="8"/>
        <v>27100</v>
      </c>
    </row>
    <row r="42" spans="1:15" s="90" customFormat="1" ht="20.100000000000001" customHeight="1">
      <c r="A42" s="79" t="s">
        <v>149</v>
      </c>
      <c r="B42" s="205">
        <v>11530</v>
      </c>
      <c r="C42" s="205">
        <v>11930.8</v>
      </c>
      <c r="D42" s="205">
        <v>12179.600000000002</v>
      </c>
      <c r="E42" s="205">
        <v>12411.5</v>
      </c>
      <c r="F42" s="205">
        <v>12755.5</v>
      </c>
      <c r="G42" s="205">
        <v>12884.5</v>
      </c>
      <c r="H42" s="205">
        <v>13013.5</v>
      </c>
      <c r="I42" s="205">
        <v>13142.5</v>
      </c>
      <c r="J42" s="205">
        <v>13271.5</v>
      </c>
      <c r="K42" s="205">
        <v>13486.5</v>
      </c>
      <c r="L42" s="205">
        <v>13701.5</v>
      </c>
      <c r="M42" s="205">
        <v>13916.5</v>
      </c>
      <c r="N42" s="197"/>
      <c r="O42" s="213">
        <f t="shared" si="8"/>
        <v>12900</v>
      </c>
    </row>
    <row r="43" spans="1:15">
      <c r="A43" s="84" t="s">
        <v>157</v>
      </c>
      <c r="B43" s="206">
        <v>6939.5</v>
      </c>
      <c r="C43" s="206">
        <v>6955.55</v>
      </c>
      <c r="D43" s="206">
        <v>7191.8500000000013</v>
      </c>
      <c r="E43" s="206">
        <v>7417.5000000000009</v>
      </c>
      <c r="F43" s="206">
        <v>7761.5000000000009</v>
      </c>
      <c r="G43" s="206">
        <v>7890.5000000000009</v>
      </c>
      <c r="H43" s="206">
        <v>8019.5000000000009</v>
      </c>
      <c r="I43" s="206">
        <v>8148.5000000000009</v>
      </c>
      <c r="J43" s="206">
        <v>8277.5</v>
      </c>
      <c r="K43" s="206">
        <v>8492.5</v>
      </c>
      <c r="L43" s="206">
        <v>8707.5</v>
      </c>
      <c r="M43" s="206">
        <v>8922.5</v>
      </c>
      <c r="N43" s="209"/>
      <c r="O43" s="217">
        <f t="shared" si="8"/>
        <v>7900</v>
      </c>
    </row>
    <row r="44" spans="1:15" s="90" customFormat="1">
      <c r="A44" s="84" t="s">
        <v>158</v>
      </c>
      <c r="B44" s="206">
        <v>4590.5</v>
      </c>
      <c r="C44" s="206">
        <v>4975.25</v>
      </c>
      <c r="D44" s="206">
        <v>4987.75</v>
      </c>
      <c r="E44" s="206">
        <v>4994</v>
      </c>
      <c r="F44" s="206">
        <v>4994</v>
      </c>
      <c r="G44" s="206">
        <v>4994</v>
      </c>
      <c r="H44" s="206">
        <v>4994</v>
      </c>
      <c r="I44" s="206">
        <v>4994</v>
      </c>
      <c r="J44" s="206">
        <v>4994</v>
      </c>
      <c r="K44" s="206">
        <v>4994</v>
      </c>
      <c r="L44" s="206">
        <v>4994</v>
      </c>
      <c r="M44" s="206">
        <v>4994</v>
      </c>
      <c r="N44" s="209"/>
      <c r="O44" s="217">
        <f t="shared" si="8"/>
        <v>5000</v>
      </c>
    </row>
    <row r="45" spans="1:15" s="90" customFormat="1" ht="20.100000000000001" customHeight="1">
      <c r="A45" s="79" t="s">
        <v>125</v>
      </c>
      <c r="B45" s="205">
        <v>6726</v>
      </c>
      <c r="C45" s="205">
        <v>6791</v>
      </c>
      <c r="D45" s="205">
        <v>6857</v>
      </c>
      <c r="E45" s="205">
        <v>6857</v>
      </c>
      <c r="F45" s="205">
        <v>6699</v>
      </c>
      <c r="G45" s="205">
        <v>6464</v>
      </c>
      <c r="H45" s="205">
        <v>6136</v>
      </c>
      <c r="I45" s="205">
        <v>6267</v>
      </c>
      <c r="J45" s="205">
        <v>6529</v>
      </c>
      <c r="K45" s="205">
        <v>6857</v>
      </c>
      <c r="L45" s="205">
        <v>6988</v>
      </c>
      <c r="M45" s="205">
        <v>6726</v>
      </c>
      <c r="N45" s="197"/>
      <c r="O45" s="213">
        <f t="shared" si="8"/>
        <v>6700</v>
      </c>
    </row>
    <row r="46" spans="1:15">
      <c r="A46" s="84" t="s">
        <v>157</v>
      </c>
      <c r="B46" s="206">
        <v>3484</v>
      </c>
      <c r="C46" s="206">
        <v>3517</v>
      </c>
      <c r="D46" s="206">
        <v>3551</v>
      </c>
      <c r="E46" s="206">
        <v>3551</v>
      </c>
      <c r="F46" s="206">
        <v>3470</v>
      </c>
      <c r="G46" s="206">
        <v>3350</v>
      </c>
      <c r="H46" s="206">
        <v>3182</v>
      </c>
      <c r="I46" s="206">
        <v>3249</v>
      </c>
      <c r="J46" s="206">
        <v>3383</v>
      </c>
      <c r="K46" s="206">
        <v>3551</v>
      </c>
      <c r="L46" s="206">
        <v>3618</v>
      </c>
      <c r="M46" s="206">
        <v>3484</v>
      </c>
      <c r="N46" s="209"/>
      <c r="O46" s="217">
        <f t="shared" si="8"/>
        <v>3400</v>
      </c>
    </row>
    <row r="47" spans="1:15" s="90" customFormat="1">
      <c r="A47" s="84" t="s">
        <v>158</v>
      </c>
      <c r="B47" s="206">
        <v>3242</v>
      </c>
      <c r="C47" s="206">
        <v>3274</v>
      </c>
      <c r="D47" s="206">
        <v>3306</v>
      </c>
      <c r="E47" s="206">
        <v>3306</v>
      </c>
      <c r="F47" s="206">
        <v>3229</v>
      </c>
      <c r="G47" s="206">
        <v>3114</v>
      </c>
      <c r="H47" s="206">
        <v>2954</v>
      </c>
      <c r="I47" s="206">
        <v>3018</v>
      </c>
      <c r="J47" s="206">
        <v>3146</v>
      </c>
      <c r="K47" s="206">
        <v>3306</v>
      </c>
      <c r="L47" s="206">
        <v>3370</v>
      </c>
      <c r="M47" s="206">
        <v>3242</v>
      </c>
      <c r="N47" s="209"/>
      <c r="O47" s="217">
        <f t="shared" si="8"/>
        <v>3200</v>
      </c>
    </row>
    <row r="48" spans="1:15" s="90" customFormat="1" ht="20.100000000000001" customHeight="1">
      <c r="A48" s="79" t="s">
        <v>151</v>
      </c>
      <c r="B48" s="205">
        <v>2500</v>
      </c>
      <c r="C48" s="205">
        <v>2500</v>
      </c>
      <c r="D48" s="205">
        <v>2500</v>
      </c>
      <c r="E48" s="205">
        <v>2500</v>
      </c>
      <c r="F48" s="205">
        <v>2500</v>
      </c>
      <c r="G48" s="205">
        <v>2500</v>
      </c>
      <c r="H48" s="205">
        <v>2500</v>
      </c>
      <c r="I48" s="205">
        <v>2500</v>
      </c>
      <c r="J48" s="205">
        <v>2500</v>
      </c>
      <c r="K48" s="205">
        <v>2500</v>
      </c>
      <c r="L48" s="205">
        <v>2500</v>
      </c>
      <c r="M48" s="205">
        <v>2500</v>
      </c>
      <c r="N48" s="209"/>
      <c r="O48" s="213">
        <f t="shared" si="8"/>
        <v>2500</v>
      </c>
    </row>
    <row r="49" spans="1:15">
      <c r="A49" s="84" t="s">
        <v>157</v>
      </c>
      <c r="B49" s="206">
        <v>1395</v>
      </c>
      <c r="C49" s="206">
        <v>1395</v>
      </c>
      <c r="D49" s="206">
        <v>1395</v>
      </c>
      <c r="E49" s="206">
        <v>1395</v>
      </c>
      <c r="F49" s="206">
        <v>1395</v>
      </c>
      <c r="G49" s="206">
        <v>1395</v>
      </c>
      <c r="H49" s="206">
        <v>1395</v>
      </c>
      <c r="I49" s="206">
        <v>1395</v>
      </c>
      <c r="J49" s="206">
        <v>1395</v>
      </c>
      <c r="K49" s="206">
        <v>1395</v>
      </c>
      <c r="L49" s="206">
        <v>1395</v>
      </c>
      <c r="M49" s="206">
        <v>1395</v>
      </c>
      <c r="N49" s="209"/>
      <c r="O49" s="217">
        <f t="shared" si="8"/>
        <v>1400</v>
      </c>
    </row>
    <row r="50" spans="1:15" s="90" customFormat="1">
      <c r="A50" s="84" t="s">
        <v>158</v>
      </c>
      <c r="B50" s="206">
        <v>1105</v>
      </c>
      <c r="C50" s="206">
        <v>1105</v>
      </c>
      <c r="D50" s="206">
        <v>1105</v>
      </c>
      <c r="E50" s="206">
        <v>1105</v>
      </c>
      <c r="F50" s="206">
        <v>1105</v>
      </c>
      <c r="G50" s="206">
        <v>1105</v>
      </c>
      <c r="H50" s="206">
        <v>1105</v>
      </c>
      <c r="I50" s="206">
        <v>1105</v>
      </c>
      <c r="J50" s="206">
        <v>1105</v>
      </c>
      <c r="K50" s="206">
        <v>1105</v>
      </c>
      <c r="L50" s="206">
        <v>1105</v>
      </c>
      <c r="M50" s="206">
        <v>1105</v>
      </c>
      <c r="N50" s="209"/>
      <c r="O50" s="217">
        <f t="shared" si="8"/>
        <v>1100</v>
      </c>
    </row>
    <row r="51" spans="1:15" s="90" customFormat="1">
      <c r="A51" s="84"/>
      <c r="B51" s="206"/>
      <c r="C51" s="206"/>
      <c r="D51" s="206"/>
      <c r="E51" s="206"/>
      <c r="F51" s="206"/>
      <c r="G51" s="206"/>
      <c r="H51" s="206"/>
      <c r="I51" s="206"/>
      <c r="J51" s="206"/>
      <c r="K51" s="206"/>
      <c r="L51" s="206"/>
      <c r="M51" s="206"/>
      <c r="N51" s="209"/>
      <c r="O51" s="213"/>
    </row>
    <row r="52" spans="1:15" s="90" customFormat="1" ht="14.4">
      <c r="A52" s="79" t="s">
        <v>159</v>
      </c>
      <c r="B52" s="215">
        <v>7602</v>
      </c>
      <c r="C52" s="215">
        <v>7976.9999999999991</v>
      </c>
      <c r="D52" s="215">
        <v>8192</v>
      </c>
      <c r="E52" s="215">
        <v>8407</v>
      </c>
      <c r="F52" s="215">
        <v>8751</v>
      </c>
      <c r="G52" s="215">
        <v>8880</v>
      </c>
      <c r="H52" s="215">
        <v>9009</v>
      </c>
      <c r="I52" s="215">
        <v>9138</v>
      </c>
      <c r="J52" s="215">
        <v>9267</v>
      </c>
      <c r="K52" s="215">
        <v>9482</v>
      </c>
      <c r="L52" s="215">
        <v>9697</v>
      </c>
      <c r="M52" s="215">
        <v>9912</v>
      </c>
      <c r="N52" s="197"/>
      <c r="O52" s="217">
        <f t="shared" si="8"/>
        <v>8900</v>
      </c>
    </row>
    <row r="53" spans="1:15" s="199" customFormat="1">
      <c r="A53" s="84" t="s">
        <v>157</v>
      </c>
      <c r="B53" s="216">
        <v>4302</v>
      </c>
      <c r="C53" s="216">
        <v>4301.9999999999991</v>
      </c>
      <c r="D53" s="216">
        <v>4517.0000000000009</v>
      </c>
      <c r="E53" s="216">
        <v>4732.0000000000009</v>
      </c>
      <c r="F53" s="216">
        <v>5076.0000000000009</v>
      </c>
      <c r="G53" s="216">
        <v>5205.0000000000009</v>
      </c>
      <c r="H53" s="216">
        <v>5334.0000000000009</v>
      </c>
      <c r="I53" s="216">
        <v>5463.0000000000009</v>
      </c>
      <c r="J53" s="216">
        <v>5592.0000000000009</v>
      </c>
      <c r="K53" s="216">
        <v>5807.0000000000009</v>
      </c>
      <c r="L53" s="216">
        <v>6022.0000000000009</v>
      </c>
      <c r="M53" s="216">
        <v>6237.0000000000009</v>
      </c>
      <c r="N53" s="209"/>
      <c r="O53" s="217">
        <f t="shared" si="8"/>
        <v>5200</v>
      </c>
    </row>
    <row r="54" spans="1:15" s="90" customFormat="1">
      <c r="A54" s="84" t="s">
        <v>158</v>
      </c>
      <c r="B54" s="216">
        <v>2500</v>
      </c>
      <c r="C54" s="216">
        <v>2875</v>
      </c>
      <c r="D54" s="216">
        <v>2875</v>
      </c>
      <c r="E54" s="216">
        <v>2875</v>
      </c>
      <c r="F54" s="216">
        <v>2875</v>
      </c>
      <c r="G54" s="216">
        <v>2875</v>
      </c>
      <c r="H54" s="216">
        <v>2875</v>
      </c>
      <c r="I54" s="216">
        <v>2875</v>
      </c>
      <c r="J54" s="216">
        <v>2875</v>
      </c>
      <c r="K54" s="216">
        <v>2875</v>
      </c>
      <c r="L54" s="216">
        <v>2875</v>
      </c>
      <c r="M54" s="216">
        <v>2875</v>
      </c>
      <c r="N54" s="209"/>
      <c r="O54" s="217">
        <f t="shared" si="8"/>
        <v>2800</v>
      </c>
    </row>
    <row r="55" spans="1:15" s="199" customFormat="1">
      <c r="A55" s="84" t="s">
        <v>160</v>
      </c>
      <c r="B55" s="216">
        <f>B52-B53-B54</f>
        <v>800</v>
      </c>
      <c r="C55" s="216">
        <f t="shared" ref="C55:M55" si="9">C52-C53-C54</f>
        <v>800</v>
      </c>
      <c r="D55" s="216">
        <f t="shared" si="9"/>
        <v>799.99999999999909</v>
      </c>
      <c r="E55" s="216">
        <f t="shared" si="9"/>
        <v>799.99999999999909</v>
      </c>
      <c r="F55" s="216">
        <f t="shared" si="9"/>
        <v>799.99999999999909</v>
      </c>
      <c r="G55" s="216">
        <f t="shared" si="9"/>
        <v>799.99999999999909</v>
      </c>
      <c r="H55" s="216">
        <f t="shared" si="9"/>
        <v>799.99999999999909</v>
      </c>
      <c r="I55" s="216">
        <f t="shared" si="9"/>
        <v>799.99999999999909</v>
      </c>
      <c r="J55" s="216">
        <f t="shared" si="9"/>
        <v>799.99999999999909</v>
      </c>
      <c r="K55" s="216">
        <f t="shared" si="9"/>
        <v>799.99999999999909</v>
      </c>
      <c r="L55" s="216">
        <f t="shared" si="9"/>
        <v>799.99999999999909</v>
      </c>
      <c r="M55" s="216">
        <f t="shared" si="9"/>
        <v>799.99999999999909</v>
      </c>
      <c r="N55" s="209"/>
      <c r="O55" s="217">
        <f t="shared" si="8"/>
        <v>800</v>
      </c>
    </row>
    <row r="56" spans="1:15">
      <c r="B56" s="206"/>
      <c r="C56" s="206"/>
      <c r="D56" s="206"/>
      <c r="E56" s="206"/>
      <c r="F56" s="206"/>
      <c r="G56" s="206"/>
      <c r="H56" s="206"/>
      <c r="I56" s="206"/>
      <c r="J56" s="206"/>
      <c r="K56" s="206"/>
      <c r="L56" s="206"/>
      <c r="M56" s="206"/>
      <c r="N56" s="209"/>
      <c r="O56" s="217"/>
    </row>
    <row r="57" spans="1:15">
      <c r="A57" s="90" t="s">
        <v>207</v>
      </c>
    </row>
    <row r="58" spans="1:15" s="90" customFormat="1">
      <c r="A58" s="79"/>
      <c r="B58" s="89"/>
      <c r="C58" s="89"/>
      <c r="D58" s="89"/>
      <c r="E58" s="89"/>
      <c r="F58" s="89"/>
      <c r="G58" s="89"/>
      <c r="H58" s="89"/>
      <c r="I58" s="89"/>
      <c r="J58" s="89"/>
      <c r="K58" s="89"/>
      <c r="L58" s="89"/>
      <c r="M58" s="89"/>
      <c r="N58" s="89"/>
      <c r="O58" s="89"/>
    </row>
  </sheetData>
  <conditionalFormatting sqref="C2:O2 A1 B57:O1048576 B35:N36 B37:O50 B51:N52 B4:O31">
    <cfRule type="cellIs" dxfId="9" priority="16" operator="equal">
      <formula>0</formula>
    </cfRule>
  </conditionalFormatting>
  <conditionalFormatting sqref="A38">
    <cfRule type="cellIs" dxfId="8" priority="14" operator="equal">
      <formula>0</formula>
    </cfRule>
  </conditionalFormatting>
  <conditionalFormatting sqref="B56:N56">
    <cfRule type="cellIs" dxfId="7" priority="13" operator="equal">
      <formula>0</formula>
    </cfRule>
  </conditionalFormatting>
  <conditionalFormatting sqref="O56">
    <cfRule type="cellIs" dxfId="6" priority="12" operator="equal">
      <formula>0</formula>
    </cfRule>
  </conditionalFormatting>
  <conditionalFormatting sqref="B32:O32 B33:N33">
    <cfRule type="cellIs" dxfId="5" priority="6" operator="equal">
      <formula>0</formula>
    </cfRule>
  </conditionalFormatting>
  <conditionalFormatting sqref="O33:O36">
    <cfRule type="cellIs" dxfId="4" priority="5" operator="equal">
      <formula>0</formula>
    </cfRule>
  </conditionalFormatting>
  <conditionalFormatting sqref="O51:O52">
    <cfRule type="cellIs" dxfId="3" priority="4" operator="equal">
      <formula>0</formula>
    </cfRule>
  </conditionalFormatting>
  <conditionalFormatting sqref="B53:O55">
    <cfRule type="cellIs" dxfId="2" priority="1" operator="equal">
      <formula>0</formula>
    </cfRule>
  </conditionalFormatting>
  <pageMargins left="0.7" right="0.7" top="0.75" bottom="0.75" header="0.3" footer="0.3"/>
  <pageSetup paperSize="9" scale="61" orientation="portrait" r:id="rId1"/>
  <headerFooter>
    <oddHeader>&amp;L&amp;G</oddHeader>
  </headerFooter>
  <rowBreaks count="1" manualBreakCount="1">
    <brk id="21" max="16383" man="1"/>
  </rowBreaks>
  <ignoredErrors>
    <ignoredError sqref="O35"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B87F-5747-4CEC-9F0D-37807559C325}">
  <dimension ref="A1:B21"/>
  <sheetViews>
    <sheetView tabSelected="1" zoomScaleNormal="100" workbookViewId="0">
      <selection activeCell="B3" sqref="B3:B4"/>
    </sheetView>
  </sheetViews>
  <sheetFormatPr defaultColWidth="8.88671875" defaultRowHeight="14.4"/>
  <cols>
    <col min="1" max="1" width="39.88671875" style="72" bestFit="1" customWidth="1"/>
    <col min="2" max="2" width="19.33203125" style="162" customWidth="1"/>
    <col min="3" max="16384" width="8.88671875" style="72"/>
  </cols>
  <sheetData>
    <row r="1" spans="1:2" ht="21">
      <c r="A1" s="234" t="s">
        <v>202</v>
      </c>
      <c r="B1" s="71"/>
    </row>
    <row r="2" spans="1:2">
      <c r="A2" s="161"/>
    </row>
    <row r="3" spans="1:2">
      <c r="A3" s="163"/>
      <c r="B3" s="238" t="s">
        <v>136</v>
      </c>
    </row>
    <row r="4" spans="1:2">
      <c r="A4" s="163" t="s">
        <v>128</v>
      </c>
      <c r="B4" s="238"/>
    </row>
    <row r="5" spans="1:2">
      <c r="A5" s="164" t="s">
        <v>137</v>
      </c>
      <c r="B5" s="165">
        <v>10800</v>
      </c>
    </row>
    <row r="6" spans="1:2">
      <c r="A6" s="164" t="s">
        <v>127</v>
      </c>
      <c r="B6" s="165">
        <v>12000</v>
      </c>
    </row>
    <row r="7" spans="1:2">
      <c r="A7" s="164" t="s">
        <v>138</v>
      </c>
      <c r="B7" s="165">
        <v>100000</v>
      </c>
    </row>
    <row r="8" spans="1:2">
      <c r="A8" s="164" t="s">
        <v>139</v>
      </c>
      <c r="B8" s="165">
        <v>90000</v>
      </c>
    </row>
    <row r="9" spans="1:2">
      <c r="A9" s="164" t="s">
        <v>140</v>
      </c>
      <c r="B9" s="165">
        <v>10000</v>
      </c>
    </row>
    <row r="10" spans="1:2">
      <c r="A10" s="164" t="s">
        <v>141</v>
      </c>
      <c r="B10" s="165">
        <v>20000</v>
      </c>
    </row>
    <row r="11" spans="1:2">
      <c r="A11" s="164" t="s">
        <v>142</v>
      </c>
      <c r="B11" s="165">
        <v>250000</v>
      </c>
    </row>
    <row r="12" spans="1:2">
      <c r="A12" s="164" t="s">
        <v>211</v>
      </c>
      <c r="B12" s="165">
        <v>13000</v>
      </c>
    </row>
    <row r="13" spans="1:2">
      <c r="A13" s="164" t="s">
        <v>161</v>
      </c>
      <c r="B13" s="165">
        <v>100000</v>
      </c>
    </row>
    <row r="14" spans="1:2" s="161" customFormat="1">
      <c r="A14" s="166" t="s">
        <v>102</v>
      </c>
      <c r="B14" s="167">
        <f>SUM(B5:B13)</f>
        <v>605800</v>
      </c>
    </row>
    <row r="16" spans="1:2" ht="29.4" customHeight="1">
      <c r="A16" s="163" t="s">
        <v>131</v>
      </c>
      <c r="B16" s="191" t="s">
        <v>136</v>
      </c>
    </row>
    <row r="17" spans="1:2">
      <c r="A17" s="164" t="s">
        <v>143</v>
      </c>
      <c r="B17" s="165">
        <v>407000</v>
      </c>
    </row>
    <row r="18" spans="1:2">
      <c r="A18" s="164" t="s">
        <v>127</v>
      </c>
      <c r="B18" s="165">
        <v>20000</v>
      </c>
    </row>
    <row r="19" spans="1:2">
      <c r="A19" s="164" t="s">
        <v>144</v>
      </c>
      <c r="B19" s="165">
        <v>100000</v>
      </c>
    </row>
    <row r="20" spans="1:2">
      <c r="A20" s="164" t="s">
        <v>162</v>
      </c>
      <c r="B20" s="165">
        <v>143000</v>
      </c>
    </row>
    <row r="21" spans="1:2" s="161" customFormat="1">
      <c r="A21" s="166" t="s">
        <v>102</v>
      </c>
      <c r="B21" s="167">
        <f>SUM(B17:B20)</f>
        <v>670000</v>
      </c>
    </row>
  </sheetData>
  <mergeCells count="1">
    <mergeCell ref="B3:B4"/>
  </mergeCells>
  <conditionalFormatting sqref="B14">
    <cfRule type="cellIs" dxfId="1" priority="2" operator="equal">
      <formula>0</formula>
    </cfRule>
  </conditionalFormatting>
  <conditionalFormatting sqref="B21">
    <cfRule type="cellIs" dxfId="0" priority="1" operator="equal">
      <formula>0</formula>
    </cfRule>
  </conditionalFormatting>
  <pageMargins left="0.7" right="0.7" top="0.75" bottom="0.75" header="0.3" footer="0.3"/>
  <pageSetup paperSize="9"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AB11-7A22-4F72-BBEA-0BC3530F1090}">
  <dimension ref="A1:M27"/>
  <sheetViews>
    <sheetView zoomScaleNormal="100" workbookViewId="0">
      <selection activeCell="R17" sqref="R17"/>
    </sheetView>
  </sheetViews>
  <sheetFormatPr defaultColWidth="8" defaultRowHeight="14.4"/>
  <cols>
    <col min="1" max="1" width="43.109375" style="3" customWidth="1"/>
    <col min="2" max="2" width="15.109375" style="3" customWidth="1"/>
    <col min="3" max="4" width="8" style="3"/>
    <col min="5" max="5" width="8.44140625" style="3" customWidth="1"/>
    <col min="6" max="6" width="35.44140625" style="3" hidden="1" customWidth="1"/>
    <col min="7" max="7" width="14.109375" style="3" hidden="1" customWidth="1"/>
    <col min="8" max="8" width="10" style="3" hidden="1" customWidth="1"/>
    <col min="9" max="9" width="14.33203125" style="3" hidden="1" customWidth="1"/>
    <col min="10" max="16" width="0" style="3" hidden="1" customWidth="1"/>
    <col min="17" max="16384" width="8" style="3"/>
  </cols>
  <sheetData>
    <row r="1" spans="1:9" ht="30" customHeight="1">
      <c r="A1" s="185" t="s">
        <v>200</v>
      </c>
      <c r="B1" s="169"/>
      <c r="F1" s="168" t="s">
        <v>212</v>
      </c>
      <c r="G1" s="169"/>
      <c r="H1" s="169"/>
      <c r="I1" s="169"/>
    </row>
    <row r="2" spans="1:9">
      <c r="A2" s="170"/>
      <c r="B2" s="219" t="s">
        <v>1</v>
      </c>
      <c r="F2" s="170"/>
      <c r="G2" s="219" t="s">
        <v>1</v>
      </c>
      <c r="H2" s="219"/>
      <c r="I2" s="219"/>
    </row>
    <row r="3" spans="1:9" ht="21">
      <c r="A3" s="228" t="s">
        <v>163</v>
      </c>
      <c r="B3" s="229" t="s">
        <v>164</v>
      </c>
      <c r="F3" s="220" t="s">
        <v>163</v>
      </c>
      <c r="G3" s="221" t="s">
        <v>164</v>
      </c>
      <c r="H3" s="221" t="s">
        <v>213</v>
      </c>
      <c r="I3" s="221" t="s">
        <v>214</v>
      </c>
    </row>
    <row r="4" spans="1:9" ht="15.6">
      <c r="A4" s="230" t="s">
        <v>20</v>
      </c>
      <c r="B4" s="231">
        <f>SUM(B5:B10)</f>
        <v>42500</v>
      </c>
      <c r="F4" s="222" t="s">
        <v>20</v>
      </c>
      <c r="G4" s="223">
        <f>SUM(G5:G10)</f>
        <v>25000</v>
      </c>
      <c r="H4" s="223">
        <f>SUM(H5:H10)</f>
        <v>25000</v>
      </c>
      <c r="I4" s="223">
        <f>SUM(I5:I10)</f>
        <v>10000</v>
      </c>
    </row>
    <row r="5" spans="1:9">
      <c r="A5" s="232" t="s">
        <v>171</v>
      </c>
      <c r="B5" s="233">
        <v>3000</v>
      </c>
      <c r="F5" s="171" t="s">
        <v>165</v>
      </c>
      <c r="G5" s="172">
        <v>22978</v>
      </c>
      <c r="H5" s="172">
        <v>25000</v>
      </c>
      <c r="I5" s="172">
        <v>10000</v>
      </c>
    </row>
    <row r="6" spans="1:9">
      <c r="A6" s="232" t="s">
        <v>215</v>
      </c>
      <c r="B6" s="233">
        <v>10000</v>
      </c>
      <c r="F6" s="171" t="s">
        <v>166</v>
      </c>
      <c r="G6" s="172">
        <v>372</v>
      </c>
      <c r="H6" s="172"/>
      <c r="I6" s="172"/>
    </row>
    <row r="7" spans="1:9">
      <c r="A7" s="232" t="s">
        <v>216</v>
      </c>
      <c r="B7" s="233">
        <v>20000</v>
      </c>
      <c r="F7" s="171" t="s">
        <v>167</v>
      </c>
      <c r="G7" s="172">
        <v>830</v>
      </c>
      <c r="H7" s="172"/>
      <c r="I7" s="172"/>
    </row>
    <row r="8" spans="1:9">
      <c r="A8" s="232" t="s">
        <v>217</v>
      </c>
      <c r="B8" s="233">
        <v>2500</v>
      </c>
      <c r="F8" s="171" t="s">
        <v>168</v>
      </c>
      <c r="G8" s="172">
        <v>300</v>
      </c>
      <c r="H8" s="172"/>
      <c r="I8" s="172"/>
    </row>
    <row r="9" spans="1:9">
      <c r="A9" s="232" t="s">
        <v>218</v>
      </c>
      <c r="B9" s="233">
        <v>4000</v>
      </c>
      <c r="F9" s="171" t="s">
        <v>169</v>
      </c>
      <c r="G9" s="172">
        <v>220</v>
      </c>
      <c r="H9" s="172"/>
      <c r="I9" s="172"/>
    </row>
    <row r="10" spans="1:9">
      <c r="A10" s="232" t="s">
        <v>219</v>
      </c>
      <c r="B10" s="233">
        <v>3000</v>
      </c>
      <c r="F10" s="171" t="s">
        <v>170</v>
      </c>
      <c r="G10" s="172">
        <v>300</v>
      </c>
      <c r="H10" s="172"/>
      <c r="I10" s="172"/>
    </row>
    <row r="11" spans="1:9" ht="15.6">
      <c r="A11" s="230" t="s">
        <v>14</v>
      </c>
      <c r="B11" s="231">
        <f>SUM(B12:B16)</f>
        <v>242000</v>
      </c>
      <c r="F11" s="222" t="s">
        <v>14</v>
      </c>
      <c r="G11" s="223">
        <f>SUM(G12:G19)</f>
        <v>77600</v>
      </c>
      <c r="H11" s="223">
        <f>SUM(H12:H19)</f>
        <v>84596</v>
      </c>
      <c r="I11" s="223">
        <f>SUM(I12:I19)</f>
        <v>0</v>
      </c>
    </row>
    <row r="12" spans="1:9">
      <c r="A12" s="232" t="s">
        <v>220</v>
      </c>
      <c r="B12" s="233">
        <v>144000</v>
      </c>
      <c r="F12" s="224" t="s">
        <v>172</v>
      </c>
      <c r="G12" s="225">
        <v>20000</v>
      </c>
      <c r="H12" s="225">
        <v>84596</v>
      </c>
      <c r="I12" s="225"/>
    </row>
    <row r="13" spans="1:9">
      <c r="A13" s="232" t="s">
        <v>221</v>
      </c>
      <c r="B13" s="233">
        <v>70000</v>
      </c>
      <c r="F13" s="226" t="s">
        <v>173</v>
      </c>
      <c r="G13" s="225">
        <v>11000</v>
      </c>
      <c r="H13" s="225"/>
      <c r="I13" s="225"/>
    </row>
    <row r="14" spans="1:9">
      <c r="A14" s="232" t="s">
        <v>222</v>
      </c>
      <c r="B14" s="233">
        <v>15000</v>
      </c>
      <c r="F14" s="226" t="s">
        <v>174</v>
      </c>
      <c r="G14" s="225">
        <v>17400</v>
      </c>
      <c r="H14" s="225"/>
      <c r="I14" s="225"/>
    </row>
    <row r="15" spans="1:9">
      <c r="A15" s="232" t="s">
        <v>223</v>
      </c>
      <c r="B15" s="233">
        <v>7000</v>
      </c>
      <c r="F15" s="226" t="s">
        <v>175</v>
      </c>
      <c r="G15" s="225">
        <v>11900</v>
      </c>
      <c r="H15" s="225"/>
      <c r="I15" s="225"/>
    </row>
    <row r="16" spans="1:9">
      <c r="A16" s="232" t="s">
        <v>224</v>
      </c>
      <c r="B16" s="233">
        <v>6000</v>
      </c>
      <c r="F16" s="226" t="s">
        <v>176</v>
      </c>
      <c r="G16" s="225">
        <v>10000</v>
      </c>
      <c r="H16" s="225"/>
      <c r="I16" s="225"/>
    </row>
    <row r="17" spans="1:13" ht="15.6">
      <c r="A17" s="230" t="s">
        <v>13</v>
      </c>
      <c r="B17" s="231">
        <f>B18</f>
        <v>16000</v>
      </c>
      <c r="F17" s="226" t="s">
        <v>177</v>
      </c>
      <c r="G17" s="225">
        <v>4300</v>
      </c>
      <c r="H17" s="225"/>
      <c r="I17" s="225"/>
    </row>
    <row r="18" spans="1:13">
      <c r="A18" s="232" t="s">
        <v>179</v>
      </c>
      <c r="B18" s="233">
        <v>16000</v>
      </c>
      <c r="F18" s="226" t="s">
        <v>178</v>
      </c>
      <c r="G18" s="225">
        <v>3000</v>
      </c>
      <c r="H18" s="225"/>
      <c r="I18" s="225"/>
      <c r="M18" s="3">
        <v>8</v>
      </c>
    </row>
    <row r="19" spans="1:13" ht="15.6">
      <c r="A19" s="188" t="s">
        <v>102</v>
      </c>
      <c r="B19" s="231">
        <f>SUM(B4+B11+B17)</f>
        <v>300500</v>
      </c>
      <c r="F19" s="171"/>
      <c r="G19" s="173"/>
      <c r="H19" s="173"/>
      <c r="I19" s="173"/>
      <c r="M19" s="3">
        <f>SUM(M18:M18)</f>
        <v>8</v>
      </c>
    </row>
    <row r="20" spans="1:13" ht="15.6">
      <c r="F20" s="222" t="s">
        <v>13</v>
      </c>
      <c r="G20" s="223">
        <f>G21</f>
        <v>20000</v>
      </c>
      <c r="H20" s="223">
        <f>H21</f>
        <v>16000</v>
      </c>
      <c r="I20" s="223">
        <f>I21</f>
        <v>7500</v>
      </c>
    </row>
    <row r="21" spans="1:13">
      <c r="B21" s="61"/>
      <c r="F21" s="171" t="s">
        <v>179</v>
      </c>
      <c r="G21" s="172">
        <v>20000</v>
      </c>
      <c r="H21" s="172">
        <v>16000</v>
      </c>
      <c r="I21" s="172">
        <v>7500</v>
      </c>
    </row>
    <row r="22" spans="1:13" ht="15.6">
      <c r="F22" s="227" t="s">
        <v>102</v>
      </c>
      <c r="G22" s="223">
        <f>SUM(G4+G11+G20)</f>
        <v>122600</v>
      </c>
      <c r="H22" s="223">
        <f>SUM(H4+H11+H20)</f>
        <v>125596</v>
      </c>
      <c r="I22" s="223">
        <f>SUM(I4+I11+I20)</f>
        <v>17500</v>
      </c>
    </row>
    <row r="25" spans="1:13">
      <c r="B25" s="61"/>
    </row>
    <row r="27" spans="1:13">
      <c r="B27" s="61"/>
    </row>
  </sheetData>
  <pageMargins left="0.7" right="0.7" top="0.75" bottom="0.75" header="0.3" footer="0.3"/>
  <pageSetup paperSize="9"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7A20-F010-49DB-88AE-5D2CE92A6B21}">
  <dimension ref="A1:E16"/>
  <sheetViews>
    <sheetView zoomScaleNormal="100" workbookViewId="0">
      <selection activeCell="D15" sqref="D15"/>
    </sheetView>
  </sheetViews>
  <sheetFormatPr defaultColWidth="8.6640625" defaultRowHeight="14.4"/>
  <cols>
    <col min="1" max="1" width="29.109375" style="174" customWidth="1"/>
    <col min="2" max="2" width="13.88671875" style="174" bestFit="1" customWidth="1"/>
    <col min="3" max="3" width="13.6640625" style="174" customWidth="1"/>
    <col min="4" max="4" width="14" style="174" bestFit="1" customWidth="1"/>
    <col min="5" max="5" width="13.44140625" style="174" customWidth="1"/>
    <col min="6" max="6" width="11.6640625" style="174" bestFit="1" customWidth="1"/>
    <col min="7" max="7" width="8.109375" style="174" bestFit="1" customWidth="1"/>
    <col min="8" max="16384" width="8.6640625" style="174"/>
  </cols>
  <sheetData>
    <row r="1" spans="1:5" ht="12.6" customHeight="1"/>
    <row r="2" spans="1:5" ht="22.8">
      <c r="A2" s="185" t="s">
        <v>196</v>
      </c>
      <c r="B2" s="3"/>
      <c r="C2" s="3"/>
      <c r="D2" s="3"/>
      <c r="E2" s="3"/>
    </row>
    <row r="3" spans="1:5">
      <c r="A3" s="3"/>
      <c r="B3" s="3"/>
      <c r="C3" s="5" t="s">
        <v>1</v>
      </c>
      <c r="D3" s="5" t="s">
        <v>1</v>
      </c>
      <c r="E3" s="5" t="s">
        <v>1</v>
      </c>
    </row>
    <row r="4" spans="1:5">
      <c r="A4" s="188" t="s">
        <v>201</v>
      </c>
      <c r="B4" s="186" t="s">
        <v>190</v>
      </c>
      <c r="C4" s="186" t="s">
        <v>123</v>
      </c>
      <c r="D4" s="186" t="s">
        <v>191</v>
      </c>
      <c r="E4" s="186" t="s">
        <v>192</v>
      </c>
    </row>
    <row r="5" spans="1:5">
      <c r="A5" s="189" t="s">
        <v>186</v>
      </c>
      <c r="B5" s="187">
        <v>0.34113060428849901</v>
      </c>
      <c r="C5" s="192">
        <v>175000</v>
      </c>
      <c r="D5" s="192">
        <v>159000</v>
      </c>
      <c r="E5" s="193">
        <v>16000</v>
      </c>
    </row>
    <row r="6" spans="1:5">
      <c r="A6" s="189" t="s">
        <v>187</v>
      </c>
      <c r="B6" s="187">
        <v>0.12670565302144249</v>
      </c>
      <c r="C6" s="192">
        <v>65000</v>
      </c>
      <c r="D6" s="192">
        <v>38000</v>
      </c>
      <c r="E6" s="193">
        <v>27000</v>
      </c>
    </row>
    <row r="7" spans="1:5">
      <c r="A7" s="189" t="s">
        <v>188</v>
      </c>
      <c r="B7" s="187">
        <v>0.41130604288499023</v>
      </c>
      <c r="C7" s="192">
        <v>211000</v>
      </c>
      <c r="D7" s="192">
        <v>117000</v>
      </c>
      <c r="E7" s="193">
        <v>94000</v>
      </c>
    </row>
    <row r="8" spans="1:5">
      <c r="A8" s="189" t="s">
        <v>189</v>
      </c>
      <c r="B8" s="187">
        <v>0.12085769980506822</v>
      </c>
      <c r="C8" s="192">
        <v>62000</v>
      </c>
      <c r="D8" s="192">
        <v>39000</v>
      </c>
      <c r="E8" s="193">
        <v>23000</v>
      </c>
    </row>
    <row r="9" spans="1:5">
      <c r="A9" s="194" t="s">
        <v>123</v>
      </c>
      <c r="B9" s="195">
        <f>SUM(B5:B8)</f>
        <v>0.99999999999999989</v>
      </c>
      <c r="C9" s="196">
        <f>SUM(C5:C8)</f>
        <v>513000</v>
      </c>
      <c r="D9" s="196">
        <f t="shared" ref="D9:E9" si="0">SUM(D5:D8)</f>
        <v>353000</v>
      </c>
      <c r="E9" s="196">
        <f t="shared" si="0"/>
        <v>160000</v>
      </c>
    </row>
    <row r="13" spans="1:5">
      <c r="D13" s="236"/>
    </row>
    <row r="14" spans="1:5">
      <c r="D14" s="236"/>
    </row>
    <row r="15" spans="1:5">
      <c r="D15" s="236"/>
    </row>
    <row r="16" spans="1:5">
      <c r="D16" s="236"/>
    </row>
  </sheetData>
  <pageMargins left="0.7" right="0.7" top="0.75" bottom="0.75" header="0.3" footer="0.3"/>
  <pageSetup paperSize="9"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818A34E83AFE541858852D6258FBA8C" ma:contentTypeVersion="0" ma:contentTypeDescription="Skapa ett nytt dokument." ma:contentTypeScope="" ma:versionID="1d60f16fef8773ac7571274af8832a05">
  <xsd:schema xmlns:xsd="http://www.w3.org/2001/XMLSchema" xmlns:xs="http://www.w3.org/2001/XMLSchema" xmlns:p="http://schemas.microsoft.com/office/2006/metadata/properties" targetNamespace="http://schemas.microsoft.com/office/2006/metadata/properties" ma:root="true" ma:fieldsID="cf44a6fddecf00195e81d235775781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40E9E8-0EB9-4B8A-8B1E-635B9A0434E5}">
  <ds:schemaRefs>
    <ds:schemaRef ds:uri="http://schemas.microsoft.com/sharepoint/v3/contenttype/forms"/>
  </ds:schemaRefs>
</ds:datastoreItem>
</file>

<file path=customXml/itemProps2.xml><?xml version="1.0" encoding="utf-8"?>
<ds:datastoreItem xmlns:ds="http://schemas.openxmlformats.org/officeDocument/2006/customXml" ds:itemID="{282B687C-3A39-40AB-A8C4-C75D2C74D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0B258A-4255-40C8-B34B-486A4546A491}">
  <ds:schemaRef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2</vt:i4>
      </vt:variant>
    </vt:vector>
  </HeadingPairs>
  <TitlesOfParts>
    <vt:vector size="15" baseType="lpstr">
      <vt:lpstr>UO14 1-1 ap1</vt:lpstr>
      <vt:lpstr>UO14 1-2 ap1</vt:lpstr>
      <vt:lpstr>UO14 1-3 ap1</vt:lpstr>
      <vt:lpstr>UO14 1-4</vt:lpstr>
      <vt:lpstr>UO10 1-6</vt:lpstr>
      <vt:lpstr>Volymplanerade åtgärder</vt:lpstr>
      <vt:lpstr>Ej volymplanerade åtgärder</vt:lpstr>
      <vt:lpstr>Investeringar 2023</vt:lpstr>
      <vt:lpstr>Utvecklingsportföljerna 2023</vt:lpstr>
      <vt:lpstr>Prognos 13 maj förvaltning</vt:lpstr>
      <vt:lpstr>Prognos 13 maj förvaltning (2)</vt:lpstr>
      <vt:lpstr>Blad2</vt:lpstr>
      <vt:lpstr>Data-Stella13 maj </vt:lpstr>
      <vt:lpstr>'Prognos 13 maj förvaltning'!_Toc30602530</vt:lpstr>
      <vt:lpstr>'Prognos 13 maj förvaltning (2)'!_Toc30602530</vt:lpstr>
    </vt:vector>
  </TitlesOfParts>
  <Company>Arbetsförmedlingen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Bialga 1 Medelstilldelning 2023</dc:title>
  <dc:creator>Madelen Attar</dc:creator>
  <cp:lastModifiedBy>Fredrik Wolffelt</cp:lastModifiedBy>
  <dcterms:created xsi:type="dcterms:W3CDTF">2020-04-07T06:43:54Z</dcterms:created>
  <dcterms:modified xsi:type="dcterms:W3CDTF">2023-01-27T16:55:30Z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0x0101004818A34E83AFE541858852D6258FBA8C</vt:lpwstr>
  </property>
</Properties>
</file>